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T\LICENCIAMIENTO JOB\Z06\SOLICITUD 2021\"/>
    </mc:Choice>
  </mc:AlternateContent>
  <bookViews>
    <workbookView xWindow="0" yWindow="0" windowWidth="28800" windowHeight="12075" tabRatio="625" firstSheet="1" activeTab="2"/>
  </bookViews>
  <sheets>
    <sheet name="ESTADO DE SITUACION FINANCIERA" sheetId="67" r:id="rId1"/>
    <sheet name="ESTADO DE RESULTADO INTEGRAL" sheetId="68" r:id="rId2"/>
    <sheet name="CAMBIOS EN EL PATRIMONIO NETO" sheetId="76" r:id="rId3"/>
    <sheet name="ESTADO DE FLUJO DE EFECTIVO" sheetId="77" r:id="rId4"/>
    <sheet name="FACTURAS-FALTANTES" sheetId="69" state="hidden" r:id="rId5"/>
    <sheet name="PROYECCION-2013" sheetId="70" state="hidden" r:id="rId6"/>
    <sheet name="DEPRECIACION ACELERADA 2013" sheetId="73" state="hidden" r:id="rId7"/>
    <sheet name="Hoja1" sheetId="75" state="hidden" r:id="rId8"/>
  </sheets>
  <externalReferences>
    <externalReference r:id="rId9"/>
  </externalReferences>
  <definedNames>
    <definedName name="_xlnm.Print_Area" localSheetId="1">'ESTADO DE RESULTADO INTEGRAL'!$B$1:$E$35</definedName>
    <definedName name="_xlnm.Print_Area" localSheetId="0">'ESTADO DE SITUACION FINANCIERA'!$B$1:$H$39</definedName>
    <definedName name="_xlnm.Database">#REF!</definedName>
  </definedNames>
  <calcPr calcId="162913"/>
</workbook>
</file>

<file path=xl/calcChain.xml><?xml version="1.0" encoding="utf-8"?>
<calcChain xmlns="http://schemas.openxmlformats.org/spreadsheetml/2006/main">
  <c r="C38" i="77" l="1"/>
  <c r="C32" i="67"/>
  <c r="C32" i="77"/>
  <c r="B32" i="77"/>
  <c r="B36" i="77" s="1"/>
  <c r="C19" i="77"/>
  <c r="B19" i="77"/>
  <c r="H27" i="76"/>
  <c r="H26" i="76"/>
  <c r="H25" i="76"/>
  <c r="H24" i="76"/>
  <c r="H23" i="76"/>
  <c r="H22" i="76"/>
  <c r="H21" i="76"/>
  <c r="H20" i="76"/>
  <c r="G19" i="76"/>
  <c r="G28" i="76" s="1"/>
  <c r="F19" i="76"/>
  <c r="F28" i="76" s="1"/>
  <c r="E19" i="76"/>
  <c r="E28" i="76" s="1"/>
  <c r="D19" i="76"/>
  <c r="D28" i="76" s="1"/>
  <c r="C19" i="76"/>
  <c r="C28" i="76" s="1"/>
  <c r="B19" i="76"/>
  <c r="B28" i="76" s="1"/>
  <c r="H18" i="76"/>
  <c r="H17" i="76"/>
  <c r="H16" i="76"/>
  <c r="H15" i="76"/>
  <c r="H14" i="76"/>
  <c r="H13" i="76"/>
  <c r="H12" i="76"/>
  <c r="H11" i="76"/>
  <c r="H10" i="76"/>
  <c r="H19" i="76" l="1"/>
  <c r="H28" i="76" s="1"/>
  <c r="C40" i="77"/>
  <c r="C44" i="77" s="1"/>
  <c r="B40" i="77"/>
  <c r="B44" i="77" s="1"/>
  <c r="C18" i="67" l="1"/>
  <c r="C34" i="67" l="1"/>
  <c r="B2" i="67"/>
  <c r="E14" i="68" l="1"/>
  <c r="E21" i="68" l="1"/>
  <c r="E26" i="68" s="1"/>
  <c r="B1" i="67"/>
  <c r="J21" i="68" l="1"/>
  <c r="J20" i="68"/>
  <c r="J23" i="68" l="1"/>
  <c r="H15" i="75" l="1"/>
  <c r="H33" i="75"/>
  <c r="H32" i="75"/>
  <c r="F27" i="75"/>
  <c r="H27" i="75" s="1"/>
  <c r="H9" i="75"/>
  <c r="H10" i="75"/>
  <c r="H11" i="75"/>
  <c r="H12" i="75"/>
  <c r="H13" i="75"/>
  <c r="H14" i="75"/>
  <c r="H16" i="75"/>
  <c r="H8" i="75"/>
  <c r="F8" i="75"/>
  <c r="B20" i="75"/>
  <c r="F14" i="75"/>
  <c r="C14" i="75"/>
  <c r="F13" i="75"/>
  <c r="C13" i="75"/>
  <c r="F12" i="75"/>
  <c r="C12" i="75"/>
  <c r="F11" i="75"/>
  <c r="C11" i="75"/>
  <c r="F10" i="75"/>
  <c r="C10" i="75"/>
  <c r="F9" i="75"/>
  <c r="C9" i="75"/>
  <c r="C8" i="75"/>
  <c r="G46" i="69"/>
  <c r="G48" i="69" s="1"/>
  <c r="G29" i="69"/>
  <c r="G30" i="69"/>
  <c r="F38" i="69"/>
  <c r="F37" i="69"/>
  <c r="F36" i="69"/>
  <c r="N34" i="70"/>
  <c r="N37" i="70"/>
  <c r="N35" i="70"/>
  <c r="N21" i="70"/>
  <c r="N22" i="70"/>
  <c r="N24" i="70"/>
  <c r="N25" i="70"/>
  <c r="N20" i="70"/>
  <c r="N10" i="70"/>
  <c r="N15" i="70" s="1"/>
  <c r="I27" i="70"/>
  <c r="E97" i="73"/>
  <c r="E96" i="73"/>
  <c r="E95" i="73"/>
  <c r="E94" i="73"/>
  <c r="E93" i="73"/>
  <c r="E92" i="73"/>
  <c r="E91" i="73"/>
  <c r="E90" i="73"/>
  <c r="D97" i="73"/>
  <c r="D96" i="73"/>
  <c r="D95" i="73"/>
  <c r="D94" i="73"/>
  <c r="D93" i="73"/>
  <c r="D92" i="73"/>
  <c r="D91" i="73"/>
  <c r="D90" i="73"/>
  <c r="E86" i="73"/>
  <c r="E58" i="73"/>
  <c r="D58" i="73"/>
  <c r="E68" i="73"/>
  <c r="E67" i="73"/>
  <c r="E66" i="73"/>
  <c r="E65" i="73"/>
  <c r="E64" i="73"/>
  <c r="E63" i="73"/>
  <c r="E62" i="73"/>
  <c r="D68" i="73"/>
  <c r="D67" i="73"/>
  <c r="D66" i="73"/>
  <c r="D65" i="73"/>
  <c r="D64" i="73"/>
  <c r="D63" i="73"/>
  <c r="D62" i="73"/>
  <c r="E40" i="73"/>
  <c r="E39" i="73"/>
  <c r="E38" i="73"/>
  <c r="E37" i="73"/>
  <c r="E36" i="73"/>
  <c r="E35" i="73"/>
  <c r="E34" i="73"/>
  <c r="E33" i="73"/>
  <c r="E32" i="73"/>
  <c r="E31" i="73"/>
  <c r="E30" i="73"/>
  <c r="E29" i="73"/>
  <c r="E41" i="73" s="1"/>
  <c r="E43" i="73" s="1"/>
  <c r="E28" i="73"/>
  <c r="D40" i="73"/>
  <c r="D39" i="73"/>
  <c r="D38" i="73"/>
  <c r="D37" i="73"/>
  <c r="D36" i="73"/>
  <c r="D35" i="73"/>
  <c r="D34" i="73"/>
  <c r="D33" i="73"/>
  <c r="D32" i="73"/>
  <c r="D31" i="73"/>
  <c r="D30" i="73"/>
  <c r="D29" i="73"/>
  <c r="D28" i="73"/>
  <c r="D86" i="73"/>
  <c r="E24" i="73"/>
  <c r="D24" i="73"/>
  <c r="F22" i="73"/>
  <c r="G22" i="73" s="1"/>
  <c r="F21" i="73"/>
  <c r="G21" i="73" s="1"/>
  <c r="F20" i="73"/>
  <c r="G20" i="73" s="1"/>
  <c r="F19" i="73"/>
  <c r="G19" i="73" s="1"/>
  <c r="F18" i="73"/>
  <c r="G18" i="73" s="1"/>
  <c r="F17" i="73"/>
  <c r="G17" i="73" s="1"/>
  <c r="F16" i="73"/>
  <c r="G16" i="73" s="1"/>
  <c r="F15" i="73"/>
  <c r="G15" i="73" s="1"/>
  <c r="F14" i="73"/>
  <c r="G14" i="73" s="1"/>
  <c r="F13" i="73"/>
  <c r="G13" i="73" s="1"/>
  <c r="D2" i="73"/>
  <c r="D1" i="73"/>
  <c r="B27" i="70"/>
  <c r="C23" i="70"/>
  <c r="C27" i="70" s="1"/>
  <c r="D27" i="70"/>
  <c r="E27" i="70"/>
  <c r="F27" i="70"/>
  <c r="G27" i="70"/>
  <c r="H27" i="70"/>
  <c r="B15" i="70"/>
  <c r="C15" i="70"/>
  <c r="D15" i="70"/>
  <c r="E15" i="70"/>
  <c r="F15" i="70"/>
  <c r="G15" i="70"/>
  <c r="H15" i="70"/>
  <c r="I15" i="70"/>
  <c r="J15" i="70"/>
  <c r="K15" i="70"/>
  <c r="L15" i="70"/>
  <c r="M15" i="70"/>
  <c r="M30" i="70" s="1"/>
  <c r="M41" i="70" s="1"/>
  <c r="M42" i="70" s="1"/>
  <c r="L27" i="70"/>
  <c r="K27" i="70"/>
  <c r="J27" i="70"/>
  <c r="M27" i="70"/>
  <c r="B20" i="69"/>
  <c r="G20" i="69"/>
  <c r="G23" i="69" s="1"/>
  <c r="E11" i="68"/>
  <c r="F9" i="69"/>
  <c r="F10" i="69"/>
  <c r="F11" i="69"/>
  <c r="F12" i="69"/>
  <c r="F13" i="69"/>
  <c r="F14" i="69"/>
  <c r="F8" i="69"/>
  <c r="C14" i="69"/>
  <c r="C9" i="69"/>
  <c r="C10" i="69"/>
  <c r="C11" i="69"/>
  <c r="C12" i="69"/>
  <c r="C13" i="69"/>
  <c r="C8" i="69"/>
  <c r="B5" i="68"/>
  <c r="H26" i="75"/>
  <c r="J30" i="70" l="1"/>
  <c r="J41" i="70" s="1"/>
  <c r="J42" i="70" s="1"/>
  <c r="K30" i="70"/>
  <c r="K41" i="70" s="1"/>
  <c r="K42" i="70" s="1"/>
  <c r="D41" i="73"/>
  <c r="D98" i="73"/>
  <c r="L30" i="70"/>
  <c r="L41" i="70" s="1"/>
  <c r="L42" i="70" s="1"/>
  <c r="G22" i="69"/>
  <c r="G24" i="69" s="1"/>
  <c r="I30" i="70"/>
  <c r="I41" i="70" s="1"/>
  <c r="I42" i="70" s="1"/>
  <c r="E69" i="73"/>
  <c r="E98" i="73"/>
  <c r="F40" i="69"/>
  <c r="G42" i="69" s="1"/>
  <c r="G53" i="69" s="1"/>
  <c r="H30" i="70"/>
  <c r="H41" i="70" s="1"/>
  <c r="H42" i="70" s="1"/>
  <c r="D30" i="70"/>
  <c r="D41" i="70" s="1"/>
  <c r="D42" i="70" s="1"/>
  <c r="D100" i="73"/>
  <c r="B30" i="70"/>
  <c r="B41" i="70" s="1"/>
  <c r="H20" i="75"/>
  <c r="H22" i="75" s="1"/>
  <c r="H37" i="75" s="1"/>
  <c r="F30" i="70"/>
  <c r="F41" i="70" s="1"/>
  <c r="F42" i="70" s="1"/>
  <c r="E28" i="68"/>
  <c r="E30" i="68" s="1"/>
  <c r="D43" i="73"/>
  <c r="F43" i="73" s="1"/>
  <c r="F41" i="73"/>
  <c r="F39" i="73" s="1"/>
  <c r="E30" i="70"/>
  <c r="E41" i="70" s="1"/>
  <c r="E42" i="70" s="1"/>
  <c r="N27" i="70"/>
  <c r="D69" i="73"/>
  <c r="D71" i="73" s="1"/>
  <c r="G30" i="70"/>
  <c r="G41" i="70" s="1"/>
  <c r="G42" i="70" s="1"/>
  <c r="C30" i="70"/>
  <c r="C41" i="70" s="1"/>
  <c r="C42" i="70" s="1"/>
  <c r="N23" i="70"/>
  <c r="G49" i="69"/>
  <c r="F98" i="73" l="1"/>
  <c r="F96" i="73" s="1"/>
  <c r="G43" i="69"/>
  <c r="G54" i="69"/>
  <c r="E100" i="73"/>
  <c r="F100" i="73" s="1"/>
  <c r="I100" i="73" s="1"/>
  <c r="F69" i="73"/>
  <c r="F67" i="73" s="1"/>
  <c r="N30" i="70"/>
  <c r="H23" i="75"/>
  <c r="H38" i="75" s="1"/>
  <c r="H39" i="75" s="1"/>
  <c r="G18" i="67"/>
  <c r="G22" i="67" s="1"/>
  <c r="E71" i="73"/>
  <c r="F71" i="73" s="1"/>
  <c r="I71" i="73" s="1"/>
  <c r="E34" i="68"/>
  <c r="G28" i="67" s="1"/>
  <c r="B42" i="70"/>
  <c r="N42" i="70" s="1"/>
  <c r="N41" i="70"/>
  <c r="I43" i="73"/>
  <c r="G55" i="69"/>
  <c r="F105" i="73" l="1"/>
  <c r="G32" i="67"/>
  <c r="G34" i="67" l="1"/>
  <c r="H26" i="67" l="1"/>
  <c r="H27" i="67"/>
  <c r="H28" i="67"/>
  <c r="H22" i="67"/>
  <c r="H25" i="67"/>
  <c r="H20" i="67"/>
  <c r="H12" i="67"/>
  <c r="H15" i="67"/>
  <c r="H14" i="67"/>
  <c r="H16" i="67"/>
  <c r="H13" i="67"/>
  <c r="H18" i="67"/>
  <c r="H32" i="67"/>
</calcChain>
</file>

<file path=xl/sharedStrings.xml><?xml version="1.0" encoding="utf-8"?>
<sst xmlns="http://schemas.openxmlformats.org/spreadsheetml/2006/main" count="395" uniqueCount="241">
  <si>
    <t>TOTAL ACTIVO</t>
  </si>
  <si>
    <t>( EXPRESADO EN NUEVOS SOLES )</t>
  </si>
  <si>
    <t>Activo</t>
  </si>
  <si>
    <t>Pasivo y Patrimonio</t>
  </si>
  <si>
    <t>Activo Corriente</t>
  </si>
  <si>
    <t>Pasivo Corriente</t>
  </si>
  <si>
    <t>Total Activo Corriente</t>
  </si>
  <si>
    <t>Activo No Corriente</t>
  </si>
  <si>
    <t>Total Pasivo No Corriente</t>
  </si>
  <si>
    <t>Total Pasivo</t>
  </si>
  <si>
    <t>Patrimonio Neto</t>
  </si>
  <si>
    <t>Capital</t>
  </si>
  <si>
    <t>Reservas Legales</t>
  </si>
  <si>
    <t>Resultados Acumulados</t>
  </si>
  <si>
    <t>Total Patrimonio Neto</t>
  </si>
  <si>
    <t>Total Activo No Corriente</t>
  </si>
  <si>
    <t>TOTAL PASIVO Y PATRIMONIO NETO</t>
  </si>
  <si>
    <t>Gastos de Administración</t>
  </si>
  <si>
    <t>Ingresos Financieros</t>
  </si>
  <si>
    <t>Gastos Financieros</t>
  </si>
  <si>
    <t xml:space="preserve">Cuentas por Cobrar Comerciales - Terceros </t>
  </si>
  <si>
    <t>Estado de Resultados</t>
  </si>
  <si>
    <t>ESTADO DE SITUACION FINANCIERA</t>
  </si>
  <si>
    <t>Total Pasivo  Corriente</t>
  </si>
  <si>
    <t>Ingresos de Actividades Ordinarias</t>
  </si>
  <si>
    <t>Total de Ingresos de Actividades Ordinarias</t>
  </si>
  <si>
    <t>Ganancia (Pérdida) Bruta</t>
  </si>
  <si>
    <t>Gastos de Ventas y Distribución</t>
  </si>
  <si>
    <t>Ganancia (Pérdida) de la baja en Activos Financieros medidos al Costo Amortizado</t>
  </si>
  <si>
    <t>Otros Ingresos Operativos</t>
  </si>
  <si>
    <t>Otros Gastos Operativos</t>
  </si>
  <si>
    <t>Ganancia (Pérdida) Operativa</t>
  </si>
  <si>
    <t>Diferencias de Cambio neto</t>
  </si>
  <si>
    <t>Resultado antes de Impuesto a las Ganancias</t>
  </si>
  <si>
    <t>Ganancia (Pérdida) Neta de Operaciones  Continuadas</t>
  </si>
  <si>
    <t>Ganancia (Pérdida) Neta del Impuesto a las Ganancias</t>
  </si>
  <si>
    <t xml:space="preserve"> Procedente de Operaciones Discontinuadas </t>
  </si>
  <si>
    <t>Impuesto a la Renta</t>
  </si>
  <si>
    <t>Ganancia (Pérdida) Neta del Ejercicio</t>
  </si>
  <si>
    <t>CONCILIACION DE LAS COMPRAS</t>
  </si>
  <si>
    <t>POWER &amp; WORK TRANSPORTES SCRL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</si>
  <si>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</si>
  <si>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</si>
  <si>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</si>
  <si>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</si>
  <si>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</si>
  <si>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</si>
  <si>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</si>
  <si>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</si>
  <si>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SETIEMBRE</t>
  </si>
  <si>
    <t xml:space="preserve">OCTUBRE </t>
  </si>
  <si>
    <t xml:space="preserve">NOVIEMBRE </t>
  </si>
  <si>
    <t>DICIEMBRE</t>
  </si>
  <si>
    <t>COMPRAS</t>
  </si>
  <si>
    <t>VENTAS</t>
  </si>
  <si>
    <t>IGV</t>
  </si>
  <si>
    <t>MES</t>
  </si>
  <si>
    <t>PDT</t>
  </si>
  <si>
    <t>DIFERENCIA</t>
  </si>
  <si>
    <t>TOTAL</t>
  </si>
  <si>
    <t>GASTOS DE ADMINISTRACION</t>
  </si>
  <si>
    <t>GASTOS DE VENTA</t>
  </si>
  <si>
    <t>RUC Nº 20506431311</t>
  </si>
  <si>
    <t>(Expresado en Nuevos Soles)</t>
  </si>
  <si>
    <t>Ventas Netas</t>
  </si>
  <si>
    <t xml:space="preserve">          Utilidad (Pèrdida) Bruta</t>
  </si>
  <si>
    <t xml:space="preserve">GASTOS DE OPERACIÓN PRE </t>
  </si>
  <si>
    <t>OPERATIVOS</t>
  </si>
  <si>
    <t>gasto de servicio prestado por terceros</t>
  </si>
  <si>
    <t>Itf</t>
  </si>
  <si>
    <t>otros gastos de gestion</t>
  </si>
  <si>
    <t>DEPRECIACION</t>
  </si>
  <si>
    <t xml:space="preserve">TOTAL GASTO DE OPERACIÓN </t>
  </si>
  <si>
    <t xml:space="preserve">          Utilidad de Operación</t>
  </si>
  <si>
    <t>OTROS INGRESOS Y EGRESOS</t>
  </si>
  <si>
    <t>gastos financieros</t>
  </si>
  <si>
    <t>Ingresos financieros</t>
  </si>
  <si>
    <t xml:space="preserve">   Utilidad (Pérdida) del Periodo</t>
  </si>
  <si>
    <t>Impuesto a la Renta Real 30%</t>
  </si>
  <si>
    <t>(-) FF a Usar</t>
  </si>
  <si>
    <t>RAZON SOCIAL: POWER &amp; WORK TRANSPORTES SCRL</t>
  </si>
  <si>
    <t>PROYECCION DE UTILIDADES E IMPUESTO A LA RENTA AL 31 DE JULIO 2013</t>
  </si>
  <si>
    <t>Acumulado al 31/12/13</t>
  </si>
  <si>
    <t>Costo</t>
  </si>
  <si>
    <t>Deventa</t>
  </si>
  <si>
    <t>Otras (FACTURAS)</t>
  </si>
  <si>
    <t>Cargas del Personal</t>
  </si>
  <si>
    <t>Otros Ingresos de Gestion</t>
  </si>
  <si>
    <t>Gastos Excepcionales</t>
  </si>
  <si>
    <t>Depreciacion</t>
  </si>
  <si>
    <t>RAZON SOCIAL:</t>
  </si>
  <si>
    <t>RUC</t>
  </si>
  <si>
    <t>DETERMINACION DEPRECIACION ACELERADA</t>
  </si>
  <si>
    <t>ACTIVO</t>
  </si>
  <si>
    <t>BASE</t>
  </si>
  <si>
    <t>TIPO DE</t>
  </si>
  <si>
    <t>GENERA</t>
  </si>
  <si>
    <t>MONTO</t>
  </si>
  <si>
    <t>CONTABLE</t>
  </si>
  <si>
    <t>TRIBUTARIA</t>
  </si>
  <si>
    <t>REMOLCADOR VOLVO PLACA YQ-1829 -S</t>
  </si>
  <si>
    <t>REMOLCADOR VOLVO PLACA YQ-1816</t>
  </si>
  <si>
    <t>REMOLCADOR VOLVO PLACA YQ 1830</t>
  </si>
  <si>
    <t>REMOLCADOR VOLVO PLACA YQ 1832</t>
  </si>
  <si>
    <t>REMOLCADOR VOLVO PLACA YQ 1831</t>
  </si>
  <si>
    <t>SEMI REMOLQUE PLACA ZH-5632 INMETSA</t>
  </si>
  <si>
    <t>SEMI REMOLQUE PLACA ZH-5614 INMETSA</t>
  </si>
  <si>
    <t>SEMI REMOLQUE PLACA ZH 5628 INMETSA</t>
  </si>
  <si>
    <t>SEMI REMOLQUE PLACA ZH 5618 INMETSA</t>
  </si>
  <si>
    <t>SEMI REMOLQUE PLACA ZH 5619 INMETSA</t>
  </si>
  <si>
    <t>TOLVA PLACA B4H-989</t>
  </si>
  <si>
    <t>LEASING 0011-0809-8100387718-10</t>
  </si>
  <si>
    <t>LEASING 0011-0809-8100405023-13</t>
  </si>
  <si>
    <t>TASA DE DEPRECIACION</t>
  </si>
  <si>
    <t xml:space="preserve">Pasivo </t>
  </si>
  <si>
    <t>Tributario</t>
  </si>
  <si>
    <t>VEHICULO(VALOR NETO)</t>
  </si>
  <si>
    <t>Deducible</t>
  </si>
  <si>
    <t>Diferido</t>
  </si>
  <si>
    <t>CIERRE JULIO-2013</t>
  </si>
  <si>
    <t>322433</t>
  </si>
  <si>
    <t xml:space="preserve"> LEASING TOTAL 2871/131</t>
  </si>
  <si>
    <t>322434</t>
  </si>
  <si>
    <t>LEASING TOTAL 2871/132</t>
  </si>
  <si>
    <t>334116</t>
  </si>
  <si>
    <t>ESTRUCTURA METALICA (TOLVA)</t>
  </si>
  <si>
    <t>334117</t>
  </si>
  <si>
    <t>MITSUBISHI MMBJNKB40DD008925 AÑO 2012</t>
  </si>
  <si>
    <t>334118</t>
  </si>
  <si>
    <t>MITSUBISHI MMBJNKB40DD013136  AÑO 2012</t>
  </si>
  <si>
    <t>334119</t>
  </si>
  <si>
    <t>MITSUBISHI MMBJNKB40DD014686  AÑO 2012</t>
  </si>
  <si>
    <t>334120</t>
  </si>
  <si>
    <t>MITSUBISHI MMBJNKB40DD014846  AÑO 2012</t>
  </si>
  <si>
    <t>334217</t>
  </si>
  <si>
    <t>SEMIQ. CARROC. VOLQ. MARCA ACS AÑO 2013</t>
  </si>
  <si>
    <t>322428</t>
  </si>
  <si>
    <t>LEASING TOTAL Nº 2542/122</t>
  </si>
  <si>
    <t>322429</t>
  </si>
  <si>
    <t>LEASING TOTAL Nº 2542/121</t>
  </si>
  <si>
    <t>322430</t>
  </si>
  <si>
    <t>LEASING TOTAL 2730/121</t>
  </si>
  <si>
    <t>322431</t>
  </si>
  <si>
    <t>LEASING TOTAL 2730/122</t>
  </si>
  <si>
    <t>322432</t>
  </si>
  <si>
    <t>CONTRATOS  0011-0809-8100450835-14</t>
  </si>
  <si>
    <t>LEASING BCO CONT. 0011-0809-8100467223-14</t>
  </si>
  <si>
    <t>ADQUIRIDO</t>
  </si>
  <si>
    <t>TOTAL DEDUCCION DE LA DEPRECIACION ACELERADA</t>
  </si>
  <si>
    <t>CONTRATO N° 0011-0809-8100467223-14</t>
  </si>
  <si>
    <t>CONTRATO ARENDAMINETO FINANCIERO 2730/121</t>
  </si>
  <si>
    <t>CONTRATO ARENDAMINETO FINANCIERO 2730/122</t>
  </si>
  <si>
    <t>CONTRATO ARENDAMINETO FINANCIERO 2542/122</t>
  </si>
  <si>
    <t>CONTRATO ARENDAMINETO FINANCIERO 2542/121</t>
  </si>
  <si>
    <t>CONSUMO DE MATERIALES Y EEGP</t>
  </si>
  <si>
    <t xml:space="preserve">                                      </t>
  </si>
  <si>
    <t>GESTOR</t>
  </si>
  <si>
    <t>gestor</t>
  </si>
  <si>
    <t>diferencia</t>
  </si>
  <si>
    <t>FACTURAS</t>
  </si>
  <si>
    <t>Resultado antes de Participaciones e Impuestos</t>
  </si>
  <si>
    <t>Participaciones de los Trabajadores</t>
  </si>
  <si>
    <t>Gasto por Impuesto a las Ganancias</t>
  </si>
  <si>
    <t>Otras Cuentas por Cobrar</t>
  </si>
  <si>
    <t>UNIVERSIDAD SAN ANDRES S.A.C. USAN S.A.C.</t>
  </si>
  <si>
    <t>RUC 20537975122</t>
  </si>
  <si>
    <t xml:space="preserve">Ventas Netas </t>
  </si>
  <si>
    <t>Gastos pagados por anticipados</t>
  </si>
  <si>
    <t>Suministros diversos</t>
  </si>
  <si>
    <t>AL 31 DE DICIEMBRE 2016</t>
  </si>
  <si>
    <t>Caja MN</t>
  </si>
  <si>
    <t>Costos de terreno</t>
  </si>
  <si>
    <t>Costo de Adquisicion Maquinaria y Equipo</t>
  </si>
  <si>
    <t>Costo de Equipo de Computo</t>
  </si>
  <si>
    <t>Costo de muebles</t>
  </si>
  <si>
    <t>Construccion en curso</t>
  </si>
  <si>
    <t xml:space="preserve">Obligaciones Financieras </t>
  </si>
  <si>
    <t>Utilidad del ejercico</t>
  </si>
  <si>
    <t>AL 31 DE  DICIEMBRE DEL 2016</t>
  </si>
  <si>
    <t>Otros Equipos</t>
  </si>
  <si>
    <t>Depreciacion de Maquinaria y Equipos</t>
  </si>
  <si>
    <t>Depreciacion de Muebles y Enseres</t>
  </si>
  <si>
    <t>Depreciacion de Equipos de Computo</t>
  </si>
  <si>
    <t>Depreciacion de Equipos Diversos</t>
  </si>
  <si>
    <t xml:space="preserve">ONP                               </t>
  </si>
  <si>
    <t xml:space="preserve">ESSALUD                           </t>
  </si>
  <si>
    <t xml:space="preserve">Renta de cuarta categoria </t>
  </si>
  <si>
    <t>Administradoras de Fondos de Pensiones</t>
  </si>
  <si>
    <t>UNIVERSIDAD SAN ANDRES S.A.C.</t>
  </si>
  <si>
    <t>Estado de Cambios en el Patrimonio Neto</t>
  </si>
  <si>
    <t>(Expresado en soles)</t>
  </si>
  <si>
    <t>Detalle</t>
  </si>
  <si>
    <t>Capital adicional</t>
  </si>
  <si>
    <t>Resultados no realizados</t>
  </si>
  <si>
    <t>Excedente revaluación</t>
  </si>
  <si>
    <t>Reserva legal</t>
  </si>
  <si>
    <t>Total</t>
  </si>
  <si>
    <t>Resultado integral</t>
  </si>
  <si>
    <t>Otro resultado integral</t>
  </si>
  <si>
    <t>Estado Acumulados de Cambios en Politicas Contables y correcion de errores</t>
  </si>
  <si>
    <t>Dividendos declarados y participaciones acordados durante el periodo</t>
  </si>
  <si>
    <t>Nuevos Aportes de Accionistas</t>
  </si>
  <si>
    <t>Capitalizacion de partidas patrimoniales</t>
  </si>
  <si>
    <t>Otro incremento o disminuciones de las partidas patrimoniales</t>
  </si>
  <si>
    <t>Resultado del ejercicio</t>
  </si>
  <si>
    <t>Saldo al 31 de diciembre del 2014</t>
  </si>
  <si>
    <t>Saldo al 31 de diciembre del 2015</t>
  </si>
  <si>
    <t>CTFLUJ03</t>
  </si>
  <si>
    <t>Estado de Flujo de Efectivo</t>
  </si>
  <si>
    <t>Actividades De Operación</t>
  </si>
  <si>
    <t>Ventas de servicios (ingresos operacionales)</t>
  </si>
  <si>
    <t>Honorarios y comisiones</t>
  </si>
  <si>
    <t>Otros cobros relativos a la actividad</t>
  </si>
  <si>
    <t>Menos:</t>
  </si>
  <si>
    <t>Proveedores de bienes y servicios</t>
  </si>
  <si>
    <t>Remuneraciones y beneficios sociales</t>
  </si>
  <si>
    <t>Pago por compensación tiempo de servicios</t>
  </si>
  <si>
    <t>Tributos</t>
  </si>
  <si>
    <t>Aumento (dism) del efectivo y equivalente de efectivo, provenientes de actividades de operación</t>
  </si>
  <si>
    <t>Actividades de Inversión</t>
  </si>
  <si>
    <t>Venta de inmueble, maquinaria y equipo</t>
  </si>
  <si>
    <t xml:space="preserve">Prestamos a Partes Relacionadas                             </t>
  </si>
  <si>
    <t xml:space="preserve">Compra de Subsidiarias y Otras Unid. de Negocios            </t>
  </si>
  <si>
    <t xml:space="preserve">Compra de Inversiones Financieras                           </t>
  </si>
  <si>
    <t xml:space="preserve">Compra de Inversiones Inmobiliarias                         </t>
  </si>
  <si>
    <t xml:space="preserve">Compra de Inmuebles, Maquinaria y Equipo                    </t>
  </si>
  <si>
    <t xml:space="preserve">Desembolsos por Obras en Curso de Inmuebles, Maq y Equi     </t>
  </si>
  <si>
    <t xml:space="preserve">Compra y desarrollo de Activos Intangibles                  </t>
  </si>
  <si>
    <t xml:space="preserve">Otros Pagos de Efectivo Relativos a la Actividad            </t>
  </si>
  <si>
    <t>Aumento (dism) del efectivo y equivalente de efectivo, provenientes de actividades de inversión</t>
  </si>
  <si>
    <t>Actividades de financiamiento</t>
  </si>
  <si>
    <t>Emision y aceptación de obligaciones financieras</t>
  </si>
  <si>
    <t>Dividendos pagados a accionistas de la matriz</t>
  </si>
  <si>
    <t>Aumento (dism) del efectivo y equivalente de efectivo, provenientes de actividades de financiamiento</t>
  </si>
  <si>
    <t>Aumento (dism) neto de efectivo</t>
  </si>
  <si>
    <t>Saldo de efectivo y equivalente de efectivo al inicio del ejercicio</t>
  </si>
  <si>
    <t>Saldo de efectivo y equivalente de efectivo al finalizar el ejercicio</t>
  </si>
  <si>
    <t>Por los años terminados el 31 de diciembre del 2015 y 2016</t>
  </si>
  <si>
    <t>Activo diferido</t>
  </si>
  <si>
    <t>Saldo al 31 de diciembre del 2016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</si>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</sst>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 * #,##0.00_ ;_ * \-#,##0.00_ ;_ * &quot;-&quot;??_ ;_ @_ "/>
    <numFmt numFmtId="165" formatCode="_ [$€-2]* #,##0.00_ ;_ [$€-2]* \-#,##0.00_ ;_ [$€-2]* &quot;-&quot;??_ "/>
    <numFmt numFmtId="166" formatCode="#,##0_ ;[Red]\-#,##0\ "/>
    <numFmt numFmtId="167" formatCode="&quot;S/.&quot;#,##0.00"/>
    <numFmt numFmtId="168" formatCode="_ * #,##0_ ;_ * \-#,##0_ ;_ * &quot;-&quot;??_ ;_ @_ "/>
    <numFmt numFmtId="169" formatCode="#,##0.00;[Red]#,##0.00"/>
    <numFmt numFmtId="170" formatCode="0.00000"/>
    <numFmt numFmtId="171" formatCode="#,##0.00_);#,##0.00"/>
    <numFmt numFmtId="172" formatCode="#,##0.00_);\-#,##0.00"/>
    <numFmt numFmtId="173" formatCode="#,##0;[Red]#,##0"/>
    <numFmt numFmtId="174" formatCode="_(* #,##0_);_(* \(#,##0\);_(* &quot;-&quot;_);_(@_)"/>
    <numFmt numFmtId="175" formatCode="0.00_);\(0.00\)"/>
    <numFmt numFmtId="176" formatCode="_(* #,##0.00_);_(* \(#,##0.00\);_(* &quot;-&quot;_);_(@_)"/>
    <numFmt numFmtId="177" formatCode="#,##0.0000;[Red]#,##0.0000"/>
    <numFmt numFmtId="178" formatCode="0;[Red]0"/>
    <numFmt numFmtId="179" formatCode="0_);\(0\)"/>
    <numFmt numFmtId="180" formatCode="##,###,###,###,##0.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indexed="18"/>
      <name val="Arial"/>
      <family val="2"/>
    </font>
    <font>
      <i/>
      <sz val="10"/>
      <color indexed="12"/>
      <name val="Arial"/>
      <family val="2"/>
    </font>
    <font>
      <b/>
      <i/>
      <sz val="10"/>
      <name val="Bookman Old Style"/>
      <family val="1"/>
    </font>
    <font>
      <b/>
      <i/>
      <sz val="11"/>
      <name val="Bookman Old Style"/>
      <family val="1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9.85"/>
      <color indexed="8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9"/>
      <color indexed="8"/>
      <name val="Arial"/>
      <family val="2"/>
    </font>
    <font>
      <b/>
      <i/>
      <sz val="9"/>
      <name val="Arial"/>
      <family val="2"/>
    </font>
    <font>
      <b/>
      <i/>
      <u/>
      <sz val="9"/>
      <name val="Arial"/>
      <family val="2"/>
    </font>
    <font>
      <u/>
      <sz val="10"/>
      <name val="Arial"/>
      <family val="2"/>
    </font>
    <font>
      <b/>
      <i/>
      <sz val="8"/>
      <name val="Arial"/>
      <family val="2"/>
    </font>
    <font>
      <b/>
      <i/>
      <u/>
      <sz val="8"/>
      <name val="Arial"/>
      <family val="2"/>
    </font>
    <font>
      <i/>
      <sz val="8"/>
      <color indexed="63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color indexed="9"/>
      <name val="Arial"/>
      <family val="2"/>
    </font>
    <font>
      <sz val="9.85"/>
      <color indexed="8"/>
      <name val="Times New Roman"/>
      <family val="1"/>
    </font>
    <font>
      <sz val="8.0500000000000007"/>
      <color indexed="8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0"/>
      <name val="Arial"/>
      <family val="2"/>
    </font>
    <font>
      <b/>
      <i/>
      <sz val="11"/>
      <color theme="0"/>
      <name val="Bookman Old Style"/>
      <family val="1"/>
    </font>
    <font>
      <sz val="10"/>
      <color theme="0"/>
      <name val="Arial"/>
      <family val="2"/>
    </font>
    <font>
      <b/>
      <i/>
      <sz val="10"/>
      <color theme="0"/>
      <name val="Bookman Old Style"/>
      <family val="1"/>
    </font>
    <font>
      <b/>
      <i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165" fontId="5" fillId="0" borderId="0" applyFont="0" applyFill="0" applyBorder="0" applyAlignment="0" applyProtection="0"/>
    <xf numFmtId="0" fontId="4" fillId="0" borderId="0"/>
    <xf numFmtId="0" fontId="32" fillId="0" borderId="0"/>
    <xf numFmtId="9" fontId="4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</cellStyleXfs>
  <cellXfs count="256">
    <xf numFmtId="0" fontId="0" fillId="0" borderId="0" xfId="0"/>
    <xf numFmtId="0" fontId="7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Alignment="1">
      <alignment horizontal="center"/>
    </xf>
    <xf numFmtId="168" fontId="6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49" fontId="9" fillId="0" borderId="0" xfId="0" applyNumberFormat="1" applyFont="1" applyFill="1" applyBorder="1" applyAlignment="1">
      <alignment horizontal="center"/>
    </xf>
    <xf numFmtId="38" fontId="7" fillId="0" borderId="0" xfId="0" applyNumberFormat="1" applyFont="1" applyFill="1" applyBorder="1" applyAlignment="1">
      <alignment horizontal="right"/>
    </xf>
    <xf numFmtId="0" fontId="33" fillId="0" borderId="0" xfId="0" applyFont="1" applyFill="1"/>
    <xf numFmtId="0" fontId="7" fillId="0" borderId="0" xfId="0" applyFont="1" applyFill="1" applyAlignment="1">
      <alignment horizontal="center"/>
    </xf>
    <xf numFmtId="166" fontId="10" fillId="0" borderId="0" xfId="0" applyNumberFormat="1" applyFont="1" applyFill="1" applyAlignment="1">
      <alignment horizontal="center"/>
    </xf>
    <xf numFmtId="38" fontId="6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38" fontId="6" fillId="0" borderId="0" xfId="0" applyNumberFormat="1" applyFont="1" applyFill="1"/>
    <xf numFmtId="38" fontId="6" fillId="0" borderId="0" xfId="0" applyNumberFormat="1" applyFont="1" applyFill="1" applyBorder="1" applyAlignment="1">
      <alignment horizontal="right"/>
    </xf>
    <xf numFmtId="10" fontId="6" fillId="0" borderId="0" xfId="0" applyNumberFormat="1" applyFont="1" applyFill="1"/>
    <xf numFmtId="38" fontId="7" fillId="0" borderId="0" xfId="0" applyNumberFormat="1" applyFont="1" applyFill="1" applyBorder="1"/>
    <xf numFmtId="0" fontId="7" fillId="0" borderId="0" xfId="0" applyFont="1" applyFill="1" applyAlignment="1">
      <alignment horizontal="justify" vertical="justify"/>
    </xf>
    <xf numFmtId="38" fontId="7" fillId="0" borderId="1" xfId="0" applyNumberFormat="1" applyFont="1" applyFill="1" applyBorder="1"/>
    <xf numFmtId="10" fontId="7" fillId="0" borderId="1" xfId="4" applyNumberFormat="1" applyFont="1" applyFill="1" applyBorder="1"/>
    <xf numFmtId="0" fontId="7" fillId="0" borderId="2" xfId="0" applyFont="1" applyFill="1" applyBorder="1"/>
    <xf numFmtId="38" fontId="7" fillId="0" borderId="2" xfId="0" applyNumberFormat="1" applyFont="1" applyFill="1" applyBorder="1" applyAlignment="1">
      <alignment horizontal="right"/>
    </xf>
    <xf numFmtId="2" fontId="6" fillId="0" borderId="0" xfId="0" applyNumberFormat="1" applyFont="1" applyFill="1"/>
    <xf numFmtId="0" fontId="6" fillId="0" borderId="0" xfId="0" applyFont="1" applyFill="1" applyAlignment="1">
      <alignment horizontal="left" vertical="center" wrapText="1"/>
    </xf>
    <xf numFmtId="166" fontId="11" fillId="0" borderId="0" xfId="0" applyNumberFormat="1" applyFont="1" applyFill="1" applyAlignment="1"/>
    <xf numFmtId="166" fontId="10" fillId="0" borderId="0" xfId="0" applyNumberFormat="1" applyFont="1" applyFill="1" applyAlignment="1"/>
    <xf numFmtId="1" fontId="6" fillId="0" borderId="0" xfId="0" applyNumberFormat="1" applyFont="1" applyFill="1"/>
    <xf numFmtId="0" fontId="12" fillId="0" borderId="0" xfId="0" applyFont="1" applyFill="1"/>
    <xf numFmtId="0" fontId="13" fillId="0" borderId="0" xfId="0" applyFont="1" applyFill="1"/>
    <xf numFmtId="49" fontId="12" fillId="0" borderId="0" xfId="0" applyNumberFormat="1" applyFont="1" applyFill="1" applyBorder="1" applyAlignment="1">
      <alignment horizontal="center"/>
    </xf>
    <xf numFmtId="170" fontId="0" fillId="0" borderId="0" xfId="0" applyNumberFormat="1"/>
    <xf numFmtId="166" fontId="11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4" fillId="0" borderId="0" xfId="0" applyFont="1" applyFill="1" applyAlignment="1">
      <alignment vertical="center"/>
    </xf>
    <xf numFmtId="0" fontId="7" fillId="0" borderId="0" xfId="0" applyFont="1" applyFill="1" applyAlignment="1"/>
    <xf numFmtId="0" fontId="15" fillId="0" borderId="0" xfId="0" applyFont="1"/>
    <xf numFmtId="0" fontId="4" fillId="0" borderId="0" xfId="0" applyFont="1"/>
    <xf numFmtId="1" fontId="0" fillId="0" borderId="0" xfId="0" applyNumberForma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9" fontId="0" fillId="0" borderId="0" xfId="0" applyNumberFormat="1"/>
    <xf numFmtId="1" fontId="0" fillId="0" borderId="4" xfId="0" applyNumberFormat="1" applyBorder="1"/>
    <xf numFmtId="169" fontId="16" fillId="0" borderId="0" xfId="0" applyNumberFormat="1" applyFont="1" applyFill="1"/>
    <xf numFmtId="0" fontId="16" fillId="0" borderId="0" xfId="0" applyFont="1" applyFill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174" fontId="18" fillId="0" borderId="0" xfId="0" applyNumberFormat="1" applyFont="1" applyFill="1" applyBorder="1"/>
    <xf numFmtId="0" fontId="19" fillId="0" borderId="0" xfId="0" applyFont="1" applyFill="1" applyBorder="1" applyAlignment="1">
      <alignment horizontal="center"/>
    </xf>
    <xf numFmtId="175" fontId="19" fillId="0" borderId="0" xfId="0" applyNumberFormat="1" applyFont="1" applyFill="1" applyAlignment="1">
      <alignment horizontal="center"/>
    </xf>
    <xf numFmtId="4" fontId="19" fillId="0" borderId="0" xfId="0" applyNumberFormat="1" applyFont="1" applyFill="1" applyAlignment="1">
      <alignment horizontal="center"/>
    </xf>
    <xf numFmtId="175" fontId="19" fillId="0" borderId="0" xfId="0" applyNumberFormat="1" applyFont="1" applyFill="1" applyBorder="1" applyAlignment="1"/>
    <xf numFmtId="17" fontId="19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175" fontId="16" fillId="0" borderId="0" xfId="0" applyNumberFormat="1" applyFont="1" applyFill="1"/>
    <xf numFmtId="179" fontId="16" fillId="0" borderId="0" xfId="0" applyNumberFormat="1" applyFont="1" applyFill="1"/>
    <xf numFmtId="179" fontId="19" fillId="0" borderId="0" xfId="0" applyNumberFormat="1" applyFont="1" applyFill="1"/>
    <xf numFmtId="169" fontId="19" fillId="0" borderId="0" xfId="0" applyNumberFormat="1" applyFont="1" applyFill="1"/>
    <xf numFmtId="164" fontId="16" fillId="0" borderId="0" xfId="0" applyNumberFormat="1" applyFont="1" applyFill="1"/>
    <xf numFmtId="174" fontId="18" fillId="0" borderId="1" xfId="0" applyNumberFormat="1" applyFont="1" applyFill="1" applyBorder="1"/>
    <xf numFmtId="173" fontId="19" fillId="0" borderId="1" xfId="0" applyNumberFormat="1" applyFont="1" applyFill="1" applyBorder="1"/>
    <xf numFmtId="169" fontId="19" fillId="0" borderId="1" xfId="0" applyNumberFormat="1" applyFont="1" applyFill="1" applyBorder="1"/>
    <xf numFmtId="169" fontId="16" fillId="0" borderId="3" xfId="0" applyNumberFormat="1" applyFont="1" applyFill="1" applyBorder="1"/>
    <xf numFmtId="174" fontId="19" fillId="0" borderId="0" xfId="0" applyNumberFormat="1" applyFont="1" applyFill="1"/>
    <xf numFmtId="176" fontId="19" fillId="0" borderId="0" xfId="0" applyNumberFormat="1" applyFont="1" applyFill="1"/>
    <xf numFmtId="174" fontId="19" fillId="0" borderId="1" xfId="0" applyNumberFormat="1" applyFont="1" applyFill="1" applyBorder="1"/>
    <xf numFmtId="174" fontId="19" fillId="0" borderId="0" xfId="0" applyNumberFormat="1" applyFont="1" applyFill="1" applyAlignment="1">
      <alignment horizontal="right"/>
    </xf>
    <xf numFmtId="167" fontId="16" fillId="0" borderId="0" xfId="0" applyNumberFormat="1" applyFont="1" applyFill="1"/>
    <xf numFmtId="174" fontId="16" fillId="0" borderId="0" xfId="0" applyNumberFormat="1" applyFont="1" applyFill="1"/>
    <xf numFmtId="3" fontId="18" fillId="0" borderId="2" xfId="0" applyNumberFormat="1" applyFont="1" applyFill="1" applyBorder="1"/>
    <xf numFmtId="4" fontId="16" fillId="0" borderId="0" xfId="0" applyNumberFormat="1" applyFont="1" applyFill="1"/>
    <xf numFmtId="169" fontId="16" fillId="0" borderId="0" xfId="0" applyNumberFormat="1" applyFont="1" applyFill="1" applyBorder="1"/>
    <xf numFmtId="0" fontId="16" fillId="0" borderId="0" xfId="0" applyFont="1" applyFill="1" applyBorder="1"/>
    <xf numFmtId="169" fontId="19" fillId="0" borderId="0" xfId="0" applyNumberFormat="1" applyFont="1" applyFill="1" applyBorder="1"/>
    <xf numFmtId="177" fontId="19" fillId="0" borderId="0" xfId="0" applyNumberFormat="1" applyFont="1" applyFill="1" applyBorder="1"/>
    <xf numFmtId="0" fontId="20" fillId="0" borderId="0" xfId="0" applyFont="1" applyFill="1" applyBorder="1" applyAlignment="1">
      <alignment horizontal="center"/>
    </xf>
    <xf numFmtId="173" fontId="20" fillId="0" borderId="0" xfId="0" applyNumberFormat="1" applyFont="1" applyFill="1" applyBorder="1"/>
    <xf numFmtId="178" fontId="20" fillId="0" borderId="0" xfId="0" applyNumberFormat="1" applyFont="1" applyFill="1" applyBorder="1"/>
    <xf numFmtId="9" fontId="19" fillId="0" borderId="0" xfId="0" applyNumberFormat="1" applyFont="1" applyFill="1" applyBorder="1"/>
    <xf numFmtId="169" fontId="16" fillId="0" borderId="0" xfId="0" applyNumberFormat="1" applyFont="1" applyFill="1" applyBorder="1" applyAlignment="1"/>
    <xf numFmtId="169" fontId="19" fillId="0" borderId="0" xfId="0" applyNumberFormat="1" applyFont="1" applyFill="1" applyBorder="1" applyAlignment="1"/>
    <xf numFmtId="10" fontId="19" fillId="0" borderId="0" xfId="4" applyNumberFormat="1" applyFont="1" applyFill="1" applyBorder="1" applyAlignment="1"/>
    <xf numFmtId="0" fontId="21" fillId="0" borderId="0" xfId="0" applyFont="1"/>
    <xf numFmtId="2" fontId="0" fillId="0" borderId="0" xfId="0" applyNumberFormat="1"/>
    <xf numFmtId="0" fontId="22" fillId="0" borderId="0" xfId="0" applyFont="1" applyFill="1"/>
    <xf numFmtId="0" fontId="17" fillId="0" borderId="0" xfId="0" applyFont="1" applyFill="1"/>
    <xf numFmtId="175" fontId="22" fillId="0" borderId="0" xfId="0" applyNumberFormat="1" applyFont="1" applyFill="1" applyAlignment="1">
      <alignment horizontal="center"/>
    </xf>
    <xf numFmtId="175" fontId="17" fillId="0" borderId="0" xfId="0" applyNumberFormat="1" applyFont="1" applyFill="1"/>
    <xf numFmtId="179" fontId="17" fillId="0" borderId="0" xfId="0" applyNumberFormat="1" applyFont="1" applyFill="1"/>
    <xf numFmtId="175" fontId="22" fillId="0" borderId="0" xfId="0" applyNumberFormat="1" applyFont="1" applyFill="1"/>
    <xf numFmtId="0" fontId="23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75" fontId="23" fillId="0" borderId="0" xfId="0" applyNumberFormat="1" applyFont="1" applyFill="1"/>
    <xf numFmtId="0" fontId="17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25" fillId="0" borderId="7" xfId="0" applyFont="1" applyBorder="1"/>
    <xf numFmtId="0" fontId="25" fillId="0" borderId="0" xfId="0" applyFont="1" applyBorder="1"/>
    <xf numFmtId="171" fontId="25" fillId="0" borderId="0" xfId="0" applyNumberFormat="1" applyFont="1" applyBorder="1"/>
    <xf numFmtId="164" fontId="0" fillId="0" borderId="0" xfId="0" applyNumberFormat="1" applyBorder="1"/>
    <xf numFmtId="0" fontId="26" fillId="0" borderId="0" xfId="0" applyFont="1"/>
    <xf numFmtId="0" fontId="27" fillId="0" borderId="0" xfId="0" applyFont="1"/>
    <xf numFmtId="0" fontId="25" fillId="0" borderId="0" xfId="0" applyFont="1"/>
    <xf numFmtId="0" fontId="28" fillId="0" borderId="0" xfId="0" applyFont="1"/>
    <xf numFmtId="0" fontId="4" fillId="0" borderId="6" xfId="0" applyFont="1" applyBorder="1"/>
    <xf numFmtId="0" fontId="4" fillId="0" borderId="9" xfId="0" applyFont="1" applyBorder="1"/>
    <xf numFmtId="0" fontId="4" fillId="0" borderId="10" xfId="0" applyFont="1" applyFill="1" applyBorder="1"/>
    <xf numFmtId="0" fontId="4" fillId="0" borderId="4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171" fontId="25" fillId="0" borderId="3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/>
    <xf numFmtId="9" fontId="4" fillId="0" borderId="0" xfId="0" applyNumberFormat="1" applyFont="1" applyBorder="1"/>
    <xf numFmtId="10" fontId="4" fillId="0" borderId="0" xfId="0" applyNumberFormat="1" applyFont="1" applyBorder="1"/>
    <xf numFmtId="164" fontId="25" fillId="0" borderId="0" xfId="0" applyNumberFormat="1" applyFont="1" applyBorder="1"/>
    <xf numFmtId="164" fontId="28" fillId="0" borderId="14" xfId="0" applyNumberFormat="1" applyFont="1" applyBorder="1"/>
    <xf numFmtId="164" fontId="28" fillId="0" borderId="6" xfId="0" applyNumberFormat="1" applyFont="1" applyBorder="1"/>
    <xf numFmtId="164" fontId="28" fillId="0" borderId="10" xfId="0" applyNumberFormat="1" applyFont="1" applyBorder="1"/>
    <xf numFmtId="0" fontId="4" fillId="0" borderId="13" xfId="0" applyFont="1" applyBorder="1"/>
    <xf numFmtId="0" fontId="28" fillId="0" borderId="15" xfId="0" applyFont="1" applyBorder="1"/>
    <xf numFmtId="0" fontId="28" fillId="0" borderId="4" xfId="0" applyFont="1" applyBorder="1"/>
    <xf numFmtId="164" fontId="28" fillId="0" borderId="4" xfId="0" applyNumberFormat="1" applyFont="1" applyBorder="1"/>
    <xf numFmtId="164" fontId="28" fillId="0" borderId="12" xfId="0" applyNumberFormat="1" applyFont="1" applyBorder="1"/>
    <xf numFmtId="17" fontId="0" fillId="0" borderId="0" xfId="0" applyNumberFormat="1"/>
    <xf numFmtId="0" fontId="0" fillId="0" borderId="0" xfId="0" applyNumberFormat="1" applyFill="1" applyBorder="1" applyAlignment="1" applyProtection="1"/>
    <xf numFmtId="0" fontId="30" fillId="0" borderId="0" xfId="0" applyFont="1" applyAlignment="1">
      <alignment vertical="center"/>
    </xf>
    <xf numFmtId="172" fontId="31" fillId="0" borderId="3" xfId="0" applyNumberFormat="1" applyFont="1" applyBorder="1" applyAlignment="1">
      <alignment horizontal="right" vertical="center"/>
    </xf>
    <xf numFmtId="164" fontId="0" fillId="0" borderId="13" xfId="0" applyNumberFormat="1" applyBorder="1"/>
    <xf numFmtId="167" fontId="0" fillId="0" borderId="0" xfId="0" applyNumberFormat="1" applyBorder="1"/>
    <xf numFmtId="171" fontId="28" fillId="0" borderId="0" xfId="0" applyNumberFormat="1" applyFont="1" applyBorder="1"/>
    <xf numFmtId="0" fontId="4" fillId="3" borderId="9" xfId="0" applyFont="1" applyFill="1" applyBorder="1"/>
    <xf numFmtId="0" fontId="0" fillId="3" borderId="11" xfId="0" applyFill="1" applyBorder="1"/>
    <xf numFmtId="171" fontId="31" fillId="0" borderId="3" xfId="0" applyNumberFormat="1" applyFont="1" applyBorder="1" applyAlignment="1">
      <alignment horizontal="right" vertical="center"/>
    </xf>
    <xf numFmtId="164" fontId="25" fillId="0" borderId="3" xfId="0" applyNumberFormat="1" applyFont="1" applyBorder="1"/>
    <xf numFmtId="0" fontId="30" fillId="0" borderId="7" xfId="0" applyFont="1" applyBorder="1" applyAlignment="1">
      <alignment horizontal="right" vertical="center"/>
    </xf>
    <xf numFmtId="0" fontId="31" fillId="0" borderId="0" xfId="0" applyFont="1" applyBorder="1" applyAlignment="1">
      <alignment vertical="center"/>
    </xf>
    <xf numFmtId="171" fontId="31" fillId="0" borderId="0" xfId="0" applyNumberFormat="1" applyFont="1" applyBorder="1" applyAlignment="1">
      <alignment horizontal="right" vertical="center"/>
    </xf>
    <xf numFmtId="0" fontId="4" fillId="0" borderId="16" xfId="0" applyFont="1" applyBorder="1"/>
    <xf numFmtId="172" fontId="31" fillId="0" borderId="13" xfId="0" applyNumberFormat="1" applyFont="1" applyBorder="1" applyAlignment="1">
      <alignment horizontal="right" vertical="center"/>
    </xf>
    <xf numFmtId="0" fontId="21" fillId="0" borderId="13" xfId="0" applyFont="1" applyBorder="1"/>
    <xf numFmtId="0" fontId="4" fillId="0" borderId="9" xfId="0" applyFont="1" applyFill="1" applyBorder="1"/>
    <xf numFmtId="0" fontId="0" fillId="0" borderId="11" xfId="0" applyBorder="1"/>
    <xf numFmtId="0" fontId="0" fillId="0" borderId="13" xfId="0" applyNumberFormat="1" applyFill="1" applyBorder="1" applyAlignment="1" applyProtection="1"/>
    <xf numFmtId="164" fontId="28" fillId="0" borderId="9" xfId="0" applyNumberFormat="1" applyFont="1" applyBorder="1"/>
    <xf numFmtId="164" fontId="28" fillId="0" borderId="11" xfId="0" applyNumberFormat="1" applyFont="1" applyBorder="1"/>
    <xf numFmtId="0" fontId="30" fillId="0" borderId="7" xfId="0" applyFont="1" applyBorder="1" applyAlignment="1">
      <alignment vertical="center"/>
    </xf>
    <xf numFmtId="172" fontId="31" fillId="0" borderId="0" xfId="0" applyNumberFormat="1" applyFont="1" applyBorder="1" applyAlignment="1">
      <alignment horizontal="right" vertical="center"/>
    </xf>
    <xf numFmtId="0" fontId="21" fillId="0" borderId="7" xfId="0" applyFont="1" applyBorder="1"/>
    <xf numFmtId="0" fontId="15" fillId="0" borderId="0" xfId="0" applyFont="1" applyBorder="1"/>
    <xf numFmtId="172" fontId="4" fillId="0" borderId="0" xfId="0" applyNumberFormat="1" applyFont="1" applyBorder="1"/>
    <xf numFmtId="0" fontId="21" fillId="0" borderId="0" xfId="0" applyFont="1" applyBorder="1"/>
    <xf numFmtId="164" fontId="4" fillId="0" borderId="0" xfId="0" applyNumberFormat="1" applyFont="1" applyBorder="1"/>
    <xf numFmtId="164" fontId="0" fillId="0" borderId="17" xfId="0" applyNumberFormat="1" applyBorder="1"/>
    <xf numFmtId="173" fontId="16" fillId="0" borderId="0" xfId="0" applyNumberFormat="1" applyFont="1" applyFill="1"/>
    <xf numFmtId="17" fontId="19" fillId="3" borderId="3" xfId="0" applyNumberFormat="1" applyFont="1" applyFill="1" applyBorder="1" applyAlignment="1">
      <alignment horizontal="center" vertical="center"/>
    </xf>
    <xf numFmtId="169" fontId="19" fillId="0" borderId="18" xfId="0" applyNumberFormat="1" applyFont="1" applyFill="1" applyBorder="1"/>
    <xf numFmtId="169" fontId="19" fillId="0" borderId="3" xfId="0" applyNumberFormat="1" applyFont="1" applyFill="1" applyBorder="1"/>
    <xf numFmtId="167" fontId="16" fillId="0" borderId="0" xfId="0" applyNumberFormat="1" applyFont="1" applyFill="1" applyBorder="1"/>
    <xf numFmtId="173" fontId="16" fillId="4" borderId="0" xfId="0" applyNumberFormat="1" applyFont="1" applyFill="1"/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166" fontId="34" fillId="0" borderId="0" xfId="0" applyNumberFormat="1" applyFont="1" applyFill="1" applyAlignment="1"/>
    <xf numFmtId="17" fontId="33" fillId="0" borderId="0" xfId="0" applyNumberFormat="1" applyFont="1" applyFill="1"/>
    <xf numFmtId="0" fontId="0" fillId="0" borderId="0" xfId="0" applyFill="1"/>
    <xf numFmtId="0" fontId="4" fillId="0" borderId="0" xfId="0" applyFont="1" applyFill="1"/>
    <xf numFmtId="0" fontId="35" fillId="0" borderId="0" xfId="0" applyFont="1" applyFill="1"/>
    <xf numFmtId="4" fontId="35" fillId="0" borderId="0" xfId="0" applyNumberFormat="1" applyFont="1" applyFill="1"/>
    <xf numFmtId="3" fontId="33" fillId="0" borderId="0" xfId="4" applyNumberFormat="1" applyFont="1" applyFill="1" applyBorder="1"/>
    <xf numFmtId="4" fontId="6" fillId="0" borderId="0" xfId="0" applyNumberFormat="1" applyFont="1" applyFill="1" applyAlignment="1">
      <alignment horizontal="center"/>
    </xf>
    <xf numFmtId="9" fontId="4" fillId="0" borderId="0" xfId="0" applyNumberFormat="1" applyFont="1" applyFill="1"/>
    <xf numFmtId="166" fontId="10" fillId="0" borderId="0" xfId="0" applyNumberFormat="1" applyFont="1" applyFill="1" applyAlignment="1">
      <alignment horizontal="center"/>
    </xf>
    <xf numFmtId="1" fontId="11" fillId="0" borderId="0" xfId="0" applyNumberFormat="1" applyFont="1" applyFill="1" applyAlignment="1"/>
    <xf numFmtId="1" fontId="11" fillId="0" borderId="0" xfId="0" applyNumberFormat="1" applyFont="1" applyFill="1" applyAlignment="1">
      <alignment horizontal="left"/>
    </xf>
    <xf numFmtId="1" fontId="10" fillId="0" borderId="0" xfId="0" applyNumberFormat="1" applyFont="1" applyFill="1" applyAlignment="1">
      <alignment horizontal="center"/>
    </xf>
    <xf numFmtId="1" fontId="7" fillId="0" borderId="0" xfId="0" applyNumberFormat="1" applyFont="1" applyFill="1" applyBorder="1" applyAlignment="1">
      <alignment horizontal="center" wrapText="1"/>
    </xf>
    <xf numFmtId="1" fontId="6" fillId="0" borderId="0" xfId="0" applyNumberFormat="1" applyFont="1" applyFill="1" applyAlignment="1">
      <alignment horizontal="center"/>
    </xf>
    <xf numFmtId="1" fontId="6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" fontId="7" fillId="0" borderId="2" xfId="0" applyNumberFormat="1" applyFont="1" applyFill="1" applyBorder="1" applyAlignment="1">
      <alignment horizontal="right"/>
    </xf>
    <xf numFmtId="40" fontId="11" fillId="0" borderId="0" xfId="0" applyNumberFormat="1" applyFont="1" applyFill="1" applyAlignment="1"/>
    <xf numFmtId="40" fontId="11" fillId="0" borderId="0" xfId="0" applyNumberFormat="1" applyFont="1" applyFill="1" applyAlignment="1">
      <alignment horizontal="left"/>
    </xf>
    <xf numFmtId="40" fontId="10" fillId="0" borderId="0" xfId="0" applyNumberFormat="1" applyFont="1" applyFill="1" applyAlignment="1">
      <alignment horizontal="center"/>
    </xf>
    <xf numFmtId="40" fontId="6" fillId="0" borderId="0" xfId="0" applyNumberFormat="1" applyFont="1" applyFill="1" applyAlignment="1">
      <alignment horizontal="center"/>
    </xf>
    <xf numFmtId="40" fontId="6" fillId="0" borderId="0" xfId="0" applyNumberFormat="1" applyFont="1" applyFill="1"/>
    <xf numFmtId="40" fontId="6" fillId="0" borderId="0" xfId="0" applyNumberFormat="1" applyFont="1" applyFill="1" applyBorder="1" applyAlignment="1">
      <alignment horizontal="right"/>
    </xf>
    <xf numFmtId="40" fontId="7" fillId="0" borderId="1" xfId="0" applyNumberFormat="1" applyFont="1" applyFill="1" applyBorder="1" applyAlignment="1">
      <alignment horizontal="right"/>
    </xf>
    <xf numFmtId="40" fontId="7" fillId="0" borderId="2" xfId="0" applyNumberFormat="1" applyFont="1" applyFill="1" applyBorder="1" applyAlignment="1">
      <alignment horizontal="right"/>
    </xf>
    <xf numFmtId="4" fontId="7" fillId="0" borderId="0" xfId="0" applyNumberFormat="1" applyFont="1" applyFill="1" applyAlignment="1"/>
    <xf numFmtId="4" fontId="14" fillId="0" borderId="0" xfId="0" applyNumberFormat="1" applyFont="1" applyFill="1" applyAlignment="1">
      <alignment vertical="center"/>
    </xf>
    <xf numFmtId="4" fontId="13" fillId="0" borderId="0" xfId="0" applyNumberFormat="1" applyFont="1" applyFill="1"/>
    <xf numFmtId="4" fontId="12" fillId="0" borderId="1" xfId="0" applyNumberFormat="1" applyFont="1" applyFill="1" applyBorder="1"/>
    <xf numFmtId="4" fontId="13" fillId="0" borderId="0" xfId="0" applyNumberFormat="1" applyFont="1" applyFill="1" applyBorder="1"/>
    <xf numFmtId="4" fontId="6" fillId="0" borderId="0" xfId="0" applyNumberFormat="1" applyFont="1" applyFill="1"/>
    <xf numFmtId="4" fontId="4" fillId="0" borderId="0" xfId="0" applyNumberFormat="1" applyFont="1" applyFill="1"/>
    <xf numFmtId="40" fontId="7" fillId="0" borderId="2" xfId="0" applyNumberFormat="1" applyFont="1" applyFill="1" applyBorder="1"/>
    <xf numFmtId="40" fontId="7" fillId="0" borderId="1" xfId="0" applyNumberFormat="1" applyFont="1" applyFill="1" applyBorder="1"/>
    <xf numFmtId="0" fontId="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center" wrapText="1"/>
    </xf>
    <xf numFmtId="0" fontId="37" fillId="0" borderId="0" xfId="4" applyNumberFormat="1" applyFont="1" applyFill="1" applyBorder="1"/>
    <xf numFmtId="10" fontId="33" fillId="0" borderId="0" xfId="4" applyNumberFormat="1" applyFont="1" applyFill="1" applyBorder="1"/>
    <xf numFmtId="166" fontId="34" fillId="0" borderId="0" xfId="0" applyNumberFormat="1" applyFont="1" applyFill="1" applyBorder="1" applyAlignment="1"/>
    <xf numFmtId="166" fontId="34" fillId="0" borderId="0" xfId="0" applyNumberFormat="1" applyFont="1" applyFill="1" applyBorder="1" applyAlignment="1">
      <alignment horizontal="left"/>
    </xf>
    <xf numFmtId="166" fontId="36" fillId="0" borderId="0" xfId="0" applyNumberFormat="1" applyFont="1" applyFill="1" applyBorder="1" applyAlignment="1">
      <alignment horizontal="center"/>
    </xf>
    <xf numFmtId="38" fontId="33" fillId="0" borderId="0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7" fillId="0" borderId="0" xfId="4" applyNumberFormat="1" applyFont="1" applyFill="1" applyBorder="1"/>
    <xf numFmtId="38" fontId="33" fillId="0" borderId="0" xfId="0" applyNumberFormat="1" applyFont="1" applyFill="1" applyBorder="1"/>
    <xf numFmtId="0" fontId="3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8" fillId="0" borderId="0" xfId="0" applyFont="1"/>
    <xf numFmtId="3" fontId="0" fillId="0" borderId="0" xfId="0" applyNumberFormat="1"/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left" vertical="center" wrapText="1"/>
    </xf>
    <xf numFmtId="0" fontId="39" fillId="0" borderId="0" xfId="0" applyFont="1" applyAlignment="1"/>
    <xf numFmtId="0" fontId="40" fillId="0" borderId="0" xfId="0" applyFont="1" applyAlignment="1"/>
    <xf numFmtId="0" fontId="41" fillId="0" borderId="0" xfId="0" applyFont="1" applyAlignment="1"/>
    <xf numFmtId="0" fontId="41" fillId="0" borderId="0" xfId="0" applyFont="1" applyAlignment="1">
      <alignment horizontal="center"/>
    </xf>
    <xf numFmtId="4" fontId="0" fillId="0" borderId="0" xfId="0" applyNumberFormat="1"/>
    <xf numFmtId="0" fontId="38" fillId="0" borderId="0" xfId="0" applyFont="1" applyAlignment="1">
      <alignment horizontal="left"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right" vertical="center"/>
    </xf>
    <xf numFmtId="0" fontId="42" fillId="0" borderId="0" xfId="0" quotePrefix="1" applyFont="1"/>
    <xf numFmtId="180" fontId="42" fillId="0" borderId="0" xfId="0" applyNumberFormat="1" applyFont="1"/>
    <xf numFmtId="0" fontId="43" fillId="0" borderId="0" xfId="0" applyFont="1"/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166" fontId="11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169" fontId="16" fillId="0" borderId="0" xfId="0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175" fontId="19" fillId="0" borderId="0" xfId="0" applyNumberFormat="1" applyFont="1" applyFill="1" applyAlignment="1">
      <alignment horizontal="center"/>
    </xf>
    <xf numFmtId="10" fontId="19" fillId="0" borderId="0" xfId="4" applyNumberFormat="1" applyFont="1" applyFill="1" applyBorder="1" applyAlignment="1">
      <alignment horizontal="center"/>
    </xf>
    <xf numFmtId="10" fontId="16" fillId="0" borderId="0" xfId="4" applyNumberFormat="1" applyFont="1" applyFill="1" applyBorder="1" applyAlignment="1">
      <alignment horizontal="center"/>
    </xf>
    <xf numFmtId="169" fontId="19" fillId="0" borderId="0" xfId="0" applyNumberFormat="1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29" fillId="2" borderId="0" xfId="0" applyFont="1" applyFill="1" applyAlignment="1" applyProtection="1">
      <alignment horizontal="center" vertical="center"/>
      <protection locked="0" hidden="1"/>
    </xf>
    <xf numFmtId="17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9">
    <cellStyle name="Euro" xfId="1"/>
    <cellStyle name="Millares 2" xfId="6"/>
    <cellStyle name="Millares 3" xfId="7"/>
    <cellStyle name="Normal" xfId="0" builtinId="0"/>
    <cellStyle name="Normal 2" xfId="2"/>
    <cellStyle name="Normal 3" xfId="3"/>
    <cellStyle name="Normal 3 2" xfId="5"/>
    <cellStyle name="Normal 4" xfId="8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LTIMA%20INFO%20DE%20GIANINA%20DEL%20GRIFO/gianina%20salazar/INFORMACION%20YURIKO%20GRIFO/YURI%20GRIFO/INFORMACION%20BALANC%20ENERGY/SR%20CARLOS%20ENVIAR/BALANCE%20GENERAL%20power%20&amp;%20workMODIFICADO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. FINANC."/>
      <sheetName val="ESTADO DE RESULTADOS"/>
      <sheetName val="NOTAS"/>
      <sheetName val="IMPTO. A LA RENTA"/>
      <sheetName val="DEDUCCIONES"/>
      <sheetName val="ANALISIS"/>
      <sheetName val="ECPN"/>
      <sheetName val="PAGOS A CTA."/>
      <sheetName val="activos2007"/>
      <sheetName val="activos2008"/>
      <sheetName val="activos2009"/>
      <sheetName val="activos2010"/>
      <sheetName val="activos2011"/>
      <sheetName val="Hoja1"/>
    </sheetNames>
    <sheetDataSet>
      <sheetData sheetId="0"/>
      <sheetData sheetId="1">
        <row r="1">
          <cell r="B1" t="str">
            <v>POWER &amp; WORK TRANSPORTES S.R.L.</v>
          </cell>
        </row>
      </sheetData>
      <sheetData sheetId="2"/>
      <sheetData sheetId="3">
        <row r="33">
          <cell r="F33">
            <v>8509.0518875002781</v>
          </cell>
        </row>
      </sheetData>
      <sheetData sheetId="4"/>
      <sheetData sheetId="5"/>
      <sheetData sheetId="6"/>
      <sheetData sheetId="7"/>
      <sheetData sheetId="8">
        <row r="3">
          <cell r="D3">
            <v>20506216932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42"/>
  <sheetViews>
    <sheetView workbookViewId="0">
      <selection activeCell="K37" sqref="K37"/>
    </sheetView>
  </sheetViews>
  <sheetFormatPr baseColWidth="10" defaultRowHeight="12.75" x14ac:dyDescent="0.2"/>
  <cols>
    <col min="1" max="1" width="5.42578125" style="2" customWidth="1"/>
    <col min="2" max="2" width="37.5703125" style="2" customWidth="1"/>
    <col min="3" max="3" width="15.7109375" style="194" customWidth="1"/>
    <col min="4" max="4" width="2.7109375" style="2" customWidth="1"/>
    <col min="5" max="5" width="5.85546875" style="27" customWidth="1"/>
    <col min="6" max="6" width="37.140625" style="2" customWidth="1"/>
    <col min="7" max="7" width="13.5703125" style="2" customWidth="1"/>
    <col min="8" max="8" width="10.5703125" style="215" customWidth="1"/>
    <col min="9" max="9" width="8.5703125" style="2" bestFit="1" customWidth="1"/>
    <col min="10" max="16384" width="11.42578125" style="2"/>
  </cols>
  <sheetData>
    <row r="1" spans="1:12" ht="14.25" x14ac:dyDescent="0.2">
      <c r="B1" s="34" t="str">
        <f>'ESTADO DE RESULTADO INTEGRAL'!B1</f>
        <v>UNIVERSIDAD SAN ANDRES S.A.C. USAN S.A.C.</v>
      </c>
      <c r="C1" s="190"/>
      <c r="D1" s="25"/>
      <c r="E1" s="182"/>
      <c r="F1" s="25"/>
      <c r="G1" s="25"/>
      <c r="H1" s="211"/>
      <c r="I1" s="25"/>
    </row>
    <row r="2" spans="1:12" ht="14.25" x14ac:dyDescent="0.2">
      <c r="B2" s="34" t="str">
        <f>+'ESTADO DE RESULTADO INTEGRAL'!B2</f>
        <v>RUC 20537975122</v>
      </c>
      <c r="C2" s="191"/>
      <c r="D2" s="32"/>
      <c r="E2" s="183"/>
      <c r="F2" s="32"/>
      <c r="G2" s="32"/>
      <c r="H2" s="212"/>
      <c r="I2" s="25"/>
    </row>
    <row r="3" spans="1:12" ht="14.25" x14ac:dyDescent="0.2">
      <c r="B3" s="237" t="s">
        <v>22</v>
      </c>
      <c r="C3" s="237"/>
      <c r="D3" s="237"/>
      <c r="E3" s="237"/>
      <c r="F3" s="237"/>
      <c r="G3" s="237"/>
      <c r="H3" s="237"/>
      <c r="I3" s="25"/>
    </row>
    <row r="4" spans="1:12" ht="18" customHeight="1" x14ac:dyDescent="0.2">
      <c r="B4" s="237" t="s">
        <v>169</v>
      </c>
      <c r="C4" s="237"/>
      <c r="D4" s="237"/>
      <c r="E4" s="237"/>
      <c r="F4" s="237"/>
      <c r="G4" s="237"/>
      <c r="H4" s="237"/>
      <c r="I4" s="25"/>
    </row>
    <row r="5" spans="1:12" x14ac:dyDescent="0.2">
      <c r="B5" s="238" t="s">
        <v>1</v>
      </c>
      <c r="C5" s="238"/>
      <c r="D5" s="238"/>
      <c r="E5" s="238"/>
      <c r="F5" s="238"/>
      <c r="G5" s="238"/>
      <c r="H5" s="238"/>
      <c r="I5" s="26"/>
    </row>
    <row r="6" spans="1:12" x14ac:dyDescent="0.2">
      <c r="B6" s="11"/>
      <c r="C6" s="192"/>
      <c r="D6" s="181"/>
      <c r="E6" s="184"/>
      <c r="F6" s="11"/>
      <c r="G6" s="11"/>
      <c r="H6" s="213"/>
      <c r="I6" s="26"/>
    </row>
    <row r="7" spans="1:12" ht="12.75" customHeight="1" x14ac:dyDescent="0.2">
      <c r="C7" s="207">
        <v>2016</v>
      </c>
      <c r="D7" s="6"/>
      <c r="E7" s="185"/>
      <c r="G7" s="10">
        <v>2016</v>
      </c>
      <c r="H7" s="208"/>
      <c r="I7" s="6"/>
    </row>
    <row r="8" spans="1:12" x14ac:dyDescent="0.2">
      <c r="A8" s="239" t="s">
        <v>2</v>
      </c>
      <c r="B8" s="239"/>
      <c r="C8" s="193"/>
      <c r="D8" s="12"/>
      <c r="E8" s="186"/>
      <c r="F8" s="1" t="s">
        <v>3</v>
      </c>
      <c r="G8" s="1"/>
      <c r="H8" s="214"/>
      <c r="I8" s="12"/>
    </row>
    <row r="9" spans="1:12" x14ac:dyDescent="0.2">
      <c r="J9" s="13"/>
    </row>
    <row r="10" spans="1:12" x14ac:dyDescent="0.2">
      <c r="B10" s="1" t="s">
        <v>4</v>
      </c>
      <c r="D10" s="14"/>
      <c r="F10" s="1" t="s">
        <v>5</v>
      </c>
      <c r="G10" s="7"/>
      <c r="H10" s="214"/>
      <c r="I10" s="12"/>
    </row>
    <row r="12" spans="1:12" ht="12.75" customHeight="1" x14ac:dyDescent="0.2">
      <c r="B12" s="2" t="s">
        <v>170</v>
      </c>
      <c r="C12" s="195">
        <v>694991.8</v>
      </c>
      <c r="D12" s="15"/>
      <c r="E12" s="187"/>
      <c r="F12" s="2" t="s">
        <v>186</v>
      </c>
      <c r="G12" s="195">
        <v>241.6</v>
      </c>
      <c r="H12" s="210">
        <f>+G12/G$34</f>
        <v>5.5824883016889629E-5</v>
      </c>
    </row>
    <row r="13" spans="1:12" x14ac:dyDescent="0.2">
      <c r="B13" s="2" t="s">
        <v>20</v>
      </c>
      <c r="C13" s="195">
        <v>0</v>
      </c>
      <c r="D13" s="15"/>
      <c r="E13" s="187"/>
      <c r="F13" s="2" t="s">
        <v>185</v>
      </c>
      <c r="G13" s="195">
        <v>486</v>
      </c>
      <c r="H13" s="210">
        <f>+G13/G$34</f>
        <v>1.1229674315483592E-4</v>
      </c>
    </row>
    <row r="14" spans="1:12" x14ac:dyDescent="0.2">
      <c r="B14" s="2" t="s">
        <v>163</v>
      </c>
      <c r="C14" s="195">
        <v>198693.81</v>
      </c>
      <c r="D14" s="15"/>
      <c r="E14" s="187"/>
      <c r="F14" s="2" t="s">
        <v>184</v>
      </c>
      <c r="G14" s="195">
        <v>370.5</v>
      </c>
      <c r="H14" s="210">
        <f>+G14/G$34</f>
        <v>8.560893691124837E-5</v>
      </c>
    </row>
    <row r="15" spans="1:12" x14ac:dyDescent="0.2">
      <c r="B15" s="2" t="s">
        <v>167</v>
      </c>
      <c r="C15" s="195">
        <v>0</v>
      </c>
      <c r="D15" s="15"/>
      <c r="E15" s="187"/>
      <c r="F15" s="2" t="s">
        <v>187</v>
      </c>
      <c r="G15" s="195">
        <v>324.20999999999998</v>
      </c>
      <c r="H15" s="210">
        <f>+G15/G$34</f>
        <v>7.4913018720636524E-5</v>
      </c>
      <c r="I15" s="14"/>
      <c r="J15" s="14"/>
    </row>
    <row r="16" spans="1:12" x14ac:dyDescent="0.2">
      <c r="B16" s="2" t="s">
        <v>168</v>
      </c>
      <c r="C16" s="195">
        <v>0</v>
      </c>
      <c r="D16" s="15"/>
      <c r="E16" s="187"/>
      <c r="F16" s="2" t="s">
        <v>176</v>
      </c>
      <c r="G16" s="195">
        <v>1862248.25</v>
      </c>
      <c r="H16" s="210">
        <f>+G16/G$34</f>
        <v>0.43029714695636356</v>
      </c>
      <c r="I16" s="14"/>
      <c r="J16" s="14"/>
      <c r="K16" s="14"/>
      <c r="L16" s="14"/>
    </row>
    <row r="17" spans="2:15" x14ac:dyDescent="0.2">
      <c r="C17" s="195"/>
      <c r="D17" s="15"/>
      <c r="E17" s="187"/>
      <c r="H17" s="210"/>
    </row>
    <row r="18" spans="2:15" x14ac:dyDescent="0.2">
      <c r="B18" s="1" t="s">
        <v>6</v>
      </c>
      <c r="C18" s="206">
        <f>SUM(C12:C17)</f>
        <v>893685.6100000001</v>
      </c>
      <c r="D18" s="20"/>
      <c r="F18" s="18" t="s">
        <v>23</v>
      </c>
      <c r="G18" s="206">
        <f>SUM(G12:G17)</f>
        <v>1863670.56</v>
      </c>
      <c r="H18" s="216">
        <f>+G18/G34</f>
        <v>0.43062579053816719</v>
      </c>
    </row>
    <row r="19" spans="2:15" x14ac:dyDescent="0.2">
      <c r="B19" s="18" t="s">
        <v>7</v>
      </c>
      <c r="C19" s="195"/>
      <c r="D19" s="8"/>
      <c r="E19" s="188"/>
      <c r="F19" s="18"/>
      <c r="G19" s="17"/>
      <c r="H19" s="209"/>
      <c r="K19" s="232"/>
      <c r="O19" s="233"/>
    </row>
    <row r="20" spans="2:15" x14ac:dyDescent="0.2">
      <c r="C20" s="195"/>
      <c r="D20" s="8"/>
      <c r="E20" s="188"/>
      <c r="F20" s="18" t="s">
        <v>8</v>
      </c>
      <c r="G20" s="19">
        <v>0</v>
      </c>
      <c r="H20" s="216">
        <f>+G20/G34</f>
        <v>0</v>
      </c>
      <c r="K20" s="232"/>
      <c r="O20" s="233"/>
    </row>
    <row r="21" spans="2:15" x14ac:dyDescent="0.2">
      <c r="B21" s="2" t="s">
        <v>171</v>
      </c>
      <c r="C21" s="195">
        <v>154850</v>
      </c>
      <c r="H21" s="210"/>
      <c r="J21" s="14"/>
      <c r="K21" s="232"/>
      <c r="L21" s="14"/>
      <c r="O21" s="233"/>
    </row>
    <row r="22" spans="2:15" x14ac:dyDescent="0.2">
      <c r="B22" s="2" t="s">
        <v>172</v>
      </c>
      <c r="C22" s="195">
        <v>3472.88</v>
      </c>
      <c r="D22" s="15"/>
      <c r="E22" s="187"/>
      <c r="F22" s="1" t="s">
        <v>9</v>
      </c>
      <c r="G22" s="206">
        <f>+G18+G20</f>
        <v>1863670.56</v>
      </c>
      <c r="H22" s="216">
        <f>+G22/G34</f>
        <v>0.43062579053816719</v>
      </c>
      <c r="I22" s="16"/>
      <c r="J22" s="14"/>
      <c r="K22" s="232"/>
      <c r="O22" s="233"/>
    </row>
    <row r="23" spans="2:15" x14ac:dyDescent="0.2">
      <c r="B23" s="2" t="s">
        <v>174</v>
      </c>
      <c r="C23" s="195">
        <v>114008.54</v>
      </c>
      <c r="D23" s="15"/>
      <c r="E23" s="187"/>
      <c r="H23" s="210"/>
      <c r="I23" s="14"/>
      <c r="K23" s="232"/>
      <c r="O23" s="233"/>
    </row>
    <row r="24" spans="2:15" x14ac:dyDescent="0.2">
      <c r="B24" s="24" t="s">
        <v>173</v>
      </c>
      <c r="C24" s="195">
        <v>44320.800000000003</v>
      </c>
      <c r="D24" s="15"/>
      <c r="E24" s="187"/>
      <c r="F24" s="1" t="s">
        <v>10</v>
      </c>
      <c r="G24" s="14"/>
      <c r="H24" s="210"/>
      <c r="K24" s="232"/>
      <c r="O24" s="233"/>
    </row>
    <row r="25" spans="2:15" x14ac:dyDescent="0.2">
      <c r="B25" s="24" t="s">
        <v>179</v>
      </c>
      <c r="C25" s="195">
        <v>4389.83</v>
      </c>
      <c r="D25" s="15"/>
      <c r="E25" s="187"/>
      <c r="F25" s="2" t="s">
        <v>11</v>
      </c>
      <c r="G25" s="194">
        <v>100000</v>
      </c>
      <c r="H25" s="210">
        <f>+G25/G$34</f>
        <v>2.3106325752023853E-2</v>
      </c>
      <c r="J25" s="14"/>
    </row>
    <row r="26" spans="2:15" x14ac:dyDescent="0.2">
      <c r="B26" s="2" t="s">
        <v>175</v>
      </c>
      <c r="C26" s="195">
        <v>2602378.94</v>
      </c>
      <c r="D26" s="15"/>
      <c r="E26" s="187"/>
      <c r="F26" s="2" t="s">
        <v>12</v>
      </c>
      <c r="G26" s="2">
        <v>0</v>
      </c>
      <c r="H26" s="210">
        <f t="shared" ref="H26:H28" si="0">+G26/G$34</f>
        <v>0</v>
      </c>
    </row>
    <row r="27" spans="2:15" ht="13.5" customHeight="1" x14ac:dyDescent="0.2">
      <c r="B27" s="2" t="s">
        <v>180</v>
      </c>
      <c r="C27" s="195">
        <v>-421.4</v>
      </c>
      <c r="D27" s="15"/>
      <c r="E27" s="187"/>
      <c r="F27" s="2" t="s">
        <v>13</v>
      </c>
      <c r="G27" s="194">
        <v>1366335</v>
      </c>
      <c r="H27" s="210">
        <f t="shared" si="0"/>
        <v>0.31570981596391512</v>
      </c>
      <c r="J27" s="14"/>
    </row>
    <row r="28" spans="2:15" x14ac:dyDescent="0.2">
      <c r="B28" s="2" t="s">
        <v>181</v>
      </c>
      <c r="C28" s="195">
        <v>-53738.1</v>
      </c>
      <c r="F28" s="2" t="s">
        <v>177</v>
      </c>
      <c r="G28" s="194">
        <f>+'ESTADO DE RESULTADO INTEGRAL'!E34</f>
        <v>997813.63</v>
      </c>
      <c r="H28" s="210">
        <f t="shared" si="0"/>
        <v>0.23055806774589402</v>
      </c>
    </row>
    <row r="29" spans="2:15" x14ac:dyDescent="0.2">
      <c r="B29" s="2" t="s">
        <v>182</v>
      </c>
      <c r="C29" s="195">
        <v>-9575.23</v>
      </c>
      <c r="G29" s="14"/>
      <c r="H29" s="210"/>
      <c r="J29" s="14"/>
    </row>
    <row r="30" spans="2:15" x14ac:dyDescent="0.2">
      <c r="B30" s="2" t="s">
        <v>183</v>
      </c>
      <c r="C30" s="194">
        <v>-307.29000000000002</v>
      </c>
      <c r="H30" s="210"/>
    </row>
    <row r="31" spans="2:15" x14ac:dyDescent="0.2">
      <c r="B31" s="2" t="s">
        <v>238</v>
      </c>
      <c r="C31" s="194">
        <v>574754.61</v>
      </c>
      <c r="H31" s="210"/>
    </row>
    <row r="32" spans="2:15" x14ac:dyDescent="0.2">
      <c r="B32" s="18" t="s">
        <v>15</v>
      </c>
      <c r="C32" s="196">
        <f>SUM(C21:C31)</f>
        <v>3434133.5799999996</v>
      </c>
      <c r="D32" s="8"/>
      <c r="E32" s="188"/>
      <c r="F32" s="1" t="s">
        <v>14</v>
      </c>
      <c r="G32" s="206">
        <f>SUM(G25:G28)</f>
        <v>2464148.63</v>
      </c>
      <c r="H32" s="216">
        <f>+G32/G34</f>
        <v>0.56937420946183293</v>
      </c>
    </row>
    <row r="33" spans="2:9" x14ac:dyDescent="0.2">
      <c r="H33" s="210"/>
    </row>
    <row r="34" spans="2:9" ht="13.5" thickBot="1" x14ac:dyDescent="0.25">
      <c r="B34" s="21" t="s">
        <v>0</v>
      </c>
      <c r="C34" s="197">
        <f>+C18+C32</f>
        <v>4327819.1899999995</v>
      </c>
      <c r="D34" s="22"/>
      <c r="E34" s="189"/>
      <c r="F34" s="21" t="s">
        <v>16</v>
      </c>
      <c r="G34" s="205">
        <f>G22+G32</f>
        <v>4327819.1899999995</v>
      </c>
      <c r="H34" s="216">
        <v>1</v>
      </c>
      <c r="I34" s="14"/>
    </row>
    <row r="35" spans="2:9" ht="13.5" thickTop="1" x14ac:dyDescent="0.2">
      <c r="G35" s="14"/>
      <c r="H35" s="217"/>
      <c r="I35" s="14"/>
    </row>
    <row r="36" spans="2:9" x14ac:dyDescent="0.2">
      <c r="F36" s="14"/>
      <c r="G36" s="14"/>
    </row>
    <row r="37" spans="2:9" x14ac:dyDescent="0.2">
      <c r="F37" s="23"/>
      <c r="G37" s="14"/>
    </row>
    <row r="38" spans="2:9" ht="11.25" customHeight="1" x14ac:dyDescent="0.2"/>
    <row r="40" spans="2:9" x14ac:dyDescent="0.2">
      <c r="F40" s="14"/>
      <c r="G40" s="14"/>
    </row>
    <row r="41" spans="2:9" x14ac:dyDescent="0.2">
      <c r="G41" s="14"/>
    </row>
    <row r="42" spans="2:9" x14ac:dyDescent="0.2">
      <c r="F42" s="14"/>
      <c r="G42" s="14"/>
    </row>
  </sheetData>
  <mergeCells count="4">
    <mergeCell ref="B3:H3"/>
    <mergeCell ref="B4:H4"/>
    <mergeCell ref="B5:H5"/>
    <mergeCell ref="A8:B8"/>
  </mergeCells>
  <phoneticPr fontId="0" type="noConversion"/>
  <printOptions horizontalCentered="1"/>
  <pageMargins left="0.39370078740157483" right="0.39370078740157483" top="0.55118110236220474" bottom="0" header="0" footer="0"/>
  <pageSetup paperSize="9" scale="95" orientation="landscape" horizontalDpi="300" verticalDpi="300" r:id="rId1"/>
  <headerFooter alignWithMargins="0"/>
  <cellWatches>
    <cellWatch r="G22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41"/>
  <sheetViews>
    <sheetView workbookViewId="0">
      <selection activeCell="E34" sqref="E34"/>
    </sheetView>
  </sheetViews>
  <sheetFormatPr baseColWidth="10" defaultRowHeight="12.75" x14ac:dyDescent="0.2"/>
  <cols>
    <col min="1" max="1" width="5.28515625" style="3" customWidth="1"/>
    <col min="2" max="2" width="55.5703125" style="2" customWidth="1"/>
    <col min="3" max="3" width="12" style="2" customWidth="1"/>
    <col min="4" max="4" width="11.42578125" style="5" bestFit="1" customWidth="1"/>
    <col min="5" max="5" width="13.42578125" style="179" customWidth="1"/>
    <col min="6" max="6" width="11.5703125" style="2" bestFit="1" customWidth="1"/>
    <col min="7" max="7" width="12.7109375" style="2" bestFit="1" customWidth="1"/>
    <col min="8" max="8" width="11.85546875" style="9" customWidth="1"/>
    <col min="9" max="11" width="11.42578125" style="9"/>
    <col min="12" max="16384" width="11.42578125" style="2"/>
  </cols>
  <sheetData>
    <row r="1" spans="2:9" x14ac:dyDescent="0.2">
      <c r="B1" s="34" t="s">
        <v>164</v>
      </c>
      <c r="C1" s="35"/>
      <c r="D1" s="35"/>
      <c r="E1" s="198"/>
    </row>
    <row r="2" spans="2:9" x14ac:dyDescent="0.2">
      <c r="B2" s="34" t="s">
        <v>165</v>
      </c>
      <c r="C2" s="33"/>
      <c r="D2" s="33"/>
      <c r="E2" s="199"/>
    </row>
    <row r="3" spans="2:9" ht="14.25" x14ac:dyDescent="0.2">
      <c r="B3" s="240" t="s">
        <v>21</v>
      </c>
      <c r="C3" s="240"/>
      <c r="D3" s="240"/>
      <c r="E3" s="240"/>
    </row>
    <row r="4" spans="2:9" ht="14.25" x14ac:dyDescent="0.2">
      <c r="B4" s="237" t="s">
        <v>178</v>
      </c>
      <c r="C4" s="237"/>
      <c r="D4" s="237"/>
      <c r="E4" s="237"/>
      <c r="F4" s="25"/>
      <c r="G4" s="25"/>
      <c r="H4" s="172"/>
      <c r="I4" s="172"/>
    </row>
    <row r="5" spans="2:9" x14ac:dyDescent="0.2">
      <c r="B5" s="239" t="str">
        <f>+'ESTADO DE SITUACION FINANCIERA'!B5</f>
        <v>( EXPRESADO EN NUEVOS SOLES )</v>
      </c>
      <c r="C5" s="239"/>
      <c r="D5" s="239"/>
      <c r="E5" s="239"/>
    </row>
    <row r="6" spans="2:9" x14ac:dyDescent="0.2">
      <c r="B6" s="4"/>
      <c r="C6" s="4"/>
    </row>
    <row r="7" spans="2:9" x14ac:dyDescent="0.2">
      <c r="B7" s="4"/>
      <c r="C7" s="4"/>
    </row>
    <row r="8" spans="2:9" ht="14.25" x14ac:dyDescent="0.2">
      <c r="B8" s="28" t="s">
        <v>24</v>
      </c>
      <c r="C8" s="29"/>
      <c r="D8" s="29"/>
      <c r="E8" s="200"/>
    </row>
    <row r="9" spans="2:9" ht="14.25" x14ac:dyDescent="0.2">
      <c r="B9" s="29" t="s">
        <v>166</v>
      </c>
      <c r="C9" s="29"/>
      <c r="D9" s="29"/>
      <c r="E9" s="200">
        <v>1779233</v>
      </c>
    </row>
    <row r="10" spans="2:9" ht="14.25" x14ac:dyDescent="0.2">
      <c r="B10" s="29"/>
      <c r="C10" s="29"/>
      <c r="D10" s="29"/>
      <c r="E10" s="200"/>
    </row>
    <row r="11" spans="2:9" ht="14.25" x14ac:dyDescent="0.2">
      <c r="B11" s="28" t="s">
        <v>25</v>
      </c>
      <c r="C11" s="29"/>
      <c r="D11" s="29"/>
      <c r="E11" s="201">
        <f>SUM(E9:E10)</f>
        <v>1779233</v>
      </c>
    </row>
    <row r="12" spans="2:9" ht="14.25" x14ac:dyDescent="0.2">
      <c r="B12" s="28"/>
      <c r="C12" s="29"/>
      <c r="D12" s="29"/>
      <c r="E12" s="202"/>
    </row>
    <row r="13" spans="2:9" ht="14.25" x14ac:dyDescent="0.2">
      <c r="B13" s="29"/>
      <c r="C13" s="29"/>
      <c r="D13" s="29"/>
      <c r="E13" s="200">
        <v>0</v>
      </c>
    </row>
    <row r="14" spans="2:9" ht="14.25" x14ac:dyDescent="0.2">
      <c r="B14" s="28" t="s">
        <v>26</v>
      </c>
      <c r="C14" s="29"/>
      <c r="D14" s="29"/>
      <c r="E14" s="201">
        <f>+E9-E13</f>
        <v>1779233</v>
      </c>
    </row>
    <row r="15" spans="2:9" ht="14.25" x14ac:dyDescent="0.2">
      <c r="B15" s="28"/>
      <c r="C15" s="29"/>
      <c r="D15" s="29"/>
      <c r="E15" s="200"/>
    </row>
    <row r="16" spans="2:9" ht="14.25" x14ac:dyDescent="0.2">
      <c r="B16" s="29" t="s">
        <v>27</v>
      </c>
      <c r="C16" s="29"/>
      <c r="D16" s="29"/>
      <c r="E16" s="200">
        <v>95531.95</v>
      </c>
    </row>
    <row r="17" spans="2:10" ht="14.25" x14ac:dyDescent="0.2">
      <c r="B17" s="29" t="s">
        <v>17</v>
      </c>
      <c r="C17" s="29"/>
      <c r="D17" s="29"/>
      <c r="E17" s="200">
        <v>675473.67</v>
      </c>
      <c r="F17" s="27"/>
    </row>
    <row r="18" spans="2:10" ht="14.25" x14ac:dyDescent="0.2">
      <c r="B18" s="29" t="s">
        <v>28</v>
      </c>
      <c r="C18" s="29"/>
      <c r="D18" s="29"/>
      <c r="E18" s="200"/>
      <c r="J18" s="9">
        <v>1012590</v>
      </c>
    </row>
    <row r="19" spans="2:10" ht="14.25" x14ac:dyDescent="0.2">
      <c r="B19" s="29" t="s">
        <v>29</v>
      </c>
      <c r="C19" s="29"/>
      <c r="D19" s="29"/>
      <c r="E19" s="200"/>
    </row>
    <row r="20" spans="2:10" ht="14.25" x14ac:dyDescent="0.2">
      <c r="B20" s="29" t="s">
        <v>30</v>
      </c>
      <c r="C20" s="29"/>
      <c r="D20" s="29"/>
      <c r="E20" s="200"/>
      <c r="G20" s="23"/>
      <c r="H20" s="9">
        <v>60</v>
      </c>
      <c r="J20" s="9">
        <f>J18*0.6</f>
        <v>607554</v>
      </c>
    </row>
    <row r="21" spans="2:10" ht="14.25" x14ac:dyDescent="0.2">
      <c r="B21" s="28" t="s">
        <v>31</v>
      </c>
      <c r="C21" s="29"/>
      <c r="D21" s="29"/>
      <c r="E21" s="201">
        <f>+E14-E16-E17-E20</f>
        <v>1008227.38</v>
      </c>
      <c r="G21" s="27"/>
      <c r="H21" s="9">
        <v>40</v>
      </c>
      <c r="J21" s="9">
        <f>J18*0.4</f>
        <v>405036</v>
      </c>
    </row>
    <row r="22" spans="2:10" ht="14.25" x14ac:dyDescent="0.2">
      <c r="B22" s="28"/>
      <c r="C22" s="29"/>
      <c r="D22" s="29"/>
      <c r="E22" s="202"/>
      <c r="G22" s="23"/>
    </row>
    <row r="23" spans="2:10" ht="14.25" x14ac:dyDescent="0.2">
      <c r="B23" s="29" t="s">
        <v>18</v>
      </c>
      <c r="C23" s="29"/>
      <c r="D23" s="30"/>
      <c r="E23" s="200">
        <v>0</v>
      </c>
      <c r="H23" s="173"/>
      <c r="J23" s="9">
        <f>SUM(J20:J22)</f>
        <v>1012590</v>
      </c>
    </row>
    <row r="24" spans="2:10" ht="14.25" x14ac:dyDescent="0.2">
      <c r="B24" s="29" t="s">
        <v>19</v>
      </c>
      <c r="C24" s="29"/>
      <c r="D24" s="30"/>
      <c r="E24" s="200">
        <v>10413.75</v>
      </c>
    </row>
    <row r="25" spans="2:10" ht="14.25" x14ac:dyDescent="0.2">
      <c r="B25" s="29" t="s">
        <v>32</v>
      </c>
      <c r="C25" s="29"/>
      <c r="D25" s="29"/>
      <c r="E25" s="200">
        <v>0</v>
      </c>
    </row>
    <row r="26" spans="2:10" s="174" customFormat="1" ht="14.25" x14ac:dyDescent="0.2">
      <c r="B26" s="28" t="s">
        <v>160</v>
      </c>
      <c r="D26" s="2"/>
      <c r="E26" s="201">
        <f>+E21-E24</f>
        <v>997813.63</v>
      </c>
      <c r="G26" s="180"/>
      <c r="H26" s="175"/>
      <c r="I26" s="176"/>
      <c r="J26" s="176"/>
    </row>
    <row r="27" spans="2:10" s="174" customFormat="1" ht="14.25" x14ac:dyDescent="0.2">
      <c r="B27" s="29" t="s">
        <v>161</v>
      </c>
      <c r="D27" s="2"/>
      <c r="E27" s="203">
        <v>0</v>
      </c>
      <c r="G27" s="180"/>
      <c r="H27" s="175"/>
      <c r="I27" s="176"/>
      <c r="J27" s="176"/>
    </row>
    <row r="28" spans="2:10" s="174" customFormat="1" ht="14.25" x14ac:dyDescent="0.2">
      <c r="B28" s="28" t="s">
        <v>33</v>
      </c>
      <c r="D28" s="2"/>
      <c r="E28" s="201">
        <f>E26+E27</f>
        <v>997813.63</v>
      </c>
      <c r="G28" s="180"/>
      <c r="H28" s="175"/>
      <c r="I28" s="176"/>
      <c r="J28" s="176"/>
    </row>
    <row r="29" spans="2:10" s="174" customFormat="1" ht="14.25" x14ac:dyDescent="0.2">
      <c r="B29" s="29" t="s">
        <v>162</v>
      </c>
      <c r="D29" s="2"/>
      <c r="E29" s="204">
        <v>0</v>
      </c>
      <c r="G29" s="180"/>
      <c r="H29" s="175"/>
      <c r="I29" s="177"/>
      <c r="J29" s="176"/>
    </row>
    <row r="30" spans="2:10" s="174" customFormat="1" ht="14.25" x14ac:dyDescent="0.2">
      <c r="B30" s="28" t="s">
        <v>34</v>
      </c>
      <c r="D30" s="2"/>
      <c r="E30" s="201">
        <f>E28</f>
        <v>997813.63</v>
      </c>
      <c r="G30" s="180"/>
      <c r="H30" s="175"/>
      <c r="I30" s="178"/>
      <c r="J30" s="176"/>
    </row>
    <row r="31" spans="2:10" s="174" customFormat="1" ht="14.25" x14ac:dyDescent="0.2">
      <c r="B31" s="29" t="s">
        <v>35</v>
      </c>
      <c r="D31" s="2"/>
      <c r="E31" s="204">
        <v>0</v>
      </c>
      <c r="G31" s="180"/>
      <c r="H31" s="175"/>
      <c r="I31" s="176"/>
      <c r="J31" s="176"/>
    </row>
    <row r="32" spans="2:10" s="174" customFormat="1" ht="14.25" x14ac:dyDescent="0.2">
      <c r="B32" s="29" t="s">
        <v>36</v>
      </c>
      <c r="D32" s="2"/>
      <c r="E32" s="204"/>
      <c r="G32" s="180"/>
      <c r="H32" s="175"/>
      <c r="I32" s="176"/>
      <c r="J32" s="176"/>
    </row>
    <row r="33" spans="2:10" s="174" customFormat="1" ht="14.25" x14ac:dyDescent="0.2">
      <c r="B33" s="29" t="s">
        <v>37</v>
      </c>
      <c r="D33" s="2"/>
      <c r="E33" s="200">
        <v>0</v>
      </c>
      <c r="G33" s="180"/>
      <c r="H33" s="175"/>
      <c r="I33" s="176"/>
      <c r="J33" s="176"/>
    </row>
    <row r="34" spans="2:10" s="174" customFormat="1" ht="14.25" x14ac:dyDescent="0.2">
      <c r="B34" s="28" t="s">
        <v>38</v>
      </c>
      <c r="D34" s="2"/>
      <c r="E34" s="201">
        <f>+E30-E33</f>
        <v>997813.63</v>
      </c>
      <c r="G34" s="180"/>
      <c r="H34" s="175"/>
      <c r="I34" s="176"/>
      <c r="J34" s="176"/>
    </row>
    <row r="35" spans="2:10" s="174" customFormat="1" ht="14.25" x14ac:dyDescent="0.2">
      <c r="C35" s="29"/>
      <c r="D35" s="2"/>
      <c r="E35" s="179"/>
      <c r="F35" s="175"/>
      <c r="G35" s="180"/>
      <c r="H35" s="175"/>
      <c r="I35" s="176"/>
      <c r="J35" s="176"/>
    </row>
    <row r="36" spans="2:10" ht="14.25" x14ac:dyDescent="0.2">
      <c r="B36" s="29"/>
      <c r="C36" s="29"/>
      <c r="D36" s="29"/>
      <c r="E36" s="200"/>
    </row>
    <row r="37" spans="2:10" ht="14.25" x14ac:dyDescent="0.2">
      <c r="B37" s="29"/>
      <c r="C37" s="29"/>
      <c r="D37" s="29"/>
      <c r="E37" s="200"/>
    </row>
    <row r="38" spans="2:10" ht="14.25" x14ac:dyDescent="0.2">
      <c r="B38" s="29"/>
      <c r="C38" s="29"/>
      <c r="D38" s="29"/>
      <c r="E38" s="200"/>
    </row>
    <row r="39" spans="2:10" ht="14.25" x14ac:dyDescent="0.2">
      <c r="B39" s="29" t="s">
        <v>155</v>
      </c>
      <c r="C39" s="29"/>
      <c r="D39" s="29"/>
      <c r="E39" s="200"/>
    </row>
    <row r="40" spans="2:10" ht="14.25" x14ac:dyDescent="0.2">
      <c r="B40" s="29"/>
      <c r="C40" s="29"/>
      <c r="D40" s="29"/>
      <c r="E40" s="200"/>
    </row>
    <row r="41" spans="2:10" ht="14.25" x14ac:dyDescent="0.2">
      <c r="B41" s="29"/>
      <c r="C41" s="29"/>
      <c r="D41" s="29"/>
      <c r="E41" s="200"/>
    </row>
  </sheetData>
  <mergeCells count="3">
    <mergeCell ref="B3:E3"/>
    <mergeCell ref="B4:E4"/>
    <mergeCell ref="B5:E5"/>
  </mergeCells>
  <phoneticPr fontId="0" type="noConversion"/>
  <printOptions horizontalCentered="1"/>
  <pageMargins left="0.39370078740157483" right="0.43307086614173229" top="0.39370078740157483" bottom="0.15748031496062992" header="0" footer="0"/>
  <pageSetup paperSize="9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3"/>
  <sheetViews>
    <sheetView tabSelected="1" workbookViewId="0">
      <selection activeCell="L23" sqref="L23"/>
    </sheetView>
  </sheetViews>
  <sheetFormatPr baseColWidth="10" defaultRowHeight="12.75" x14ac:dyDescent="0.2"/>
  <cols>
    <col min="1" max="1" width="38.5703125" customWidth="1"/>
    <col min="2" max="2" width="10" customWidth="1"/>
    <col min="4" max="4" width="13" customWidth="1"/>
    <col min="5" max="5" width="12.5703125" customWidth="1"/>
    <col min="6" max="6" width="12.28515625" customWidth="1"/>
    <col min="7" max="7" width="14.42578125" customWidth="1"/>
    <col min="9" max="18" width="11.42578125" style="234"/>
  </cols>
  <sheetData>
    <row r="2" spans="1:18" ht="18.75" x14ac:dyDescent="0.4">
      <c r="A2" s="242" t="s">
        <v>188</v>
      </c>
      <c r="B2" s="242"/>
      <c r="C2" s="242"/>
      <c r="D2" s="242"/>
      <c r="E2" s="242"/>
      <c r="F2" s="242"/>
      <c r="G2" s="242"/>
      <c r="H2" s="242"/>
    </row>
    <row r="3" spans="1:18" ht="18.75" x14ac:dyDescent="0.4">
      <c r="A3" s="243" t="s">
        <v>189</v>
      </c>
      <c r="B3" s="243"/>
      <c r="C3" s="243"/>
      <c r="D3" s="243"/>
      <c r="E3" s="243"/>
      <c r="F3" s="243"/>
      <c r="G3" s="243"/>
      <c r="H3" s="243"/>
    </row>
    <row r="5" spans="1:18" ht="14.25" x14ac:dyDescent="0.2">
      <c r="A5" s="241" t="s">
        <v>237</v>
      </c>
      <c r="B5" s="241"/>
      <c r="C5" s="241"/>
      <c r="D5" s="241"/>
      <c r="E5" s="241"/>
      <c r="F5" s="241"/>
      <c r="G5" s="241"/>
      <c r="H5" s="241"/>
    </row>
    <row r="6" spans="1:18" ht="14.25" x14ac:dyDescent="0.2">
      <c r="A6" s="241" t="s">
        <v>190</v>
      </c>
      <c r="B6" s="241"/>
      <c r="C6" s="241"/>
      <c r="D6" s="241"/>
      <c r="E6" s="241"/>
      <c r="F6" s="241"/>
      <c r="G6" s="241"/>
      <c r="H6" s="241"/>
    </row>
    <row r="9" spans="1:18" s="219" customFormat="1" ht="30" x14ac:dyDescent="0.2">
      <c r="A9" s="218" t="s">
        <v>191</v>
      </c>
      <c r="B9" s="218" t="s">
        <v>11</v>
      </c>
      <c r="C9" s="218" t="s">
        <v>192</v>
      </c>
      <c r="D9" s="218" t="s">
        <v>193</v>
      </c>
      <c r="E9" s="218" t="s">
        <v>194</v>
      </c>
      <c r="F9" s="218" t="s">
        <v>195</v>
      </c>
      <c r="G9" s="218" t="s">
        <v>13</v>
      </c>
      <c r="H9" s="218" t="s">
        <v>196</v>
      </c>
      <c r="I9" s="235"/>
      <c r="J9" s="235"/>
      <c r="K9" s="235"/>
      <c r="L9" s="235"/>
      <c r="M9" s="235"/>
      <c r="N9" s="235"/>
      <c r="O9" s="235"/>
      <c r="P9" s="235"/>
      <c r="Q9" s="235"/>
      <c r="R9" s="235"/>
    </row>
    <row r="10" spans="1:18" ht="15" x14ac:dyDescent="0.25">
      <c r="A10" s="220" t="s">
        <v>205</v>
      </c>
      <c r="B10" s="221">
        <v>100000</v>
      </c>
      <c r="C10" s="221"/>
      <c r="D10" s="221"/>
      <c r="E10" s="221"/>
      <c r="F10" s="221"/>
      <c r="G10" s="221">
        <v>367030</v>
      </c>
      <c r="H10" s="221">
        <f>SUM(B10:G10)</f>
        <v>467030</v>
      </c>
    </row>
    <row r="11" spans="1:18" x14ac:dyDescent="0.2">
      <c r="A11" t="s">
        <v>197</v>
      </c>
      <c r="B11" s="221"/>
      <c r="C11" s="221"/>
      <c r="D11" s="221"/>
      <c r="E11" s="221"/>
      <c r="F11" s="221"/>
      <c r="G11" s="221"/>
      <c r="H11" s="221">
        <f t="shared" ref="H11:H27" si="0">SUM(B11:G11)</f>
        <v>0</v>
      </c>
    </row>
    <row r="12" spans="1:18" x14ac:dyDescent="0.2">
      <c r="A12" t="s">
        <v>198</v>
      </c>
      <c r="B12" s="221"/>
      <c r="C12" s="221"/>
      <c r="D12" s="221"/>
      <c r="E12" s="221"/>
      <c r="F12" s="221"/>
      <c r="G12" s="221"/>
      <c r="H12" s="221">
        <f t="shared" si="0"/>
        <v>0</v>
      </c>
    </row>
    <row r="13" spans="1:18" s="222" customFormat="1" ht="25.5" x14ac:dyDescent="0.2">
      <c r="A13" s="222" t="s">
        <v>199</v>
      </c>
      <c r="B13" s="223"/>
      <c r="C13" s="223"/>
      <c r="D13" s="223"/>
      <c r="E13" s="223"/>
      <c r="F13" s="223"/>
      <c r="G13" s="223"/>
      <c r="H13" s="221">
        <f t="shared" si="0"/>
        <v>0</v>
      </c>
      <c r="I13" s="236"/>
      <c r="J13" s="236"/>
      <c r="K13" s="236"/>
      <c r="L13" s="236"/>
      <c r="M13" s="236"/>
      <c r="N13" s="236"/>
      <c r="O13" s="236"/>
      <c r="P13" s="236"/>
      <c r="Q13" s="236"/>
      <c r="R13" s="236"/>
    </row>
    <row r="14" spans="1:18" ht="25.5" x14ac:dyDescent="0.2">
      <c r="A14" s="222" t="s">
        <v>200</v>
      </c>
      <c r="B14" s="221"/>
      <c r="C14" s="221"/>
      <c r="D14" s="221"/>
      <c r="E14" s="221"/>
      <c r="F14" s="221"/>
      <c r="G14" s="221"/>
      <c r="H14" s="221">
        <f t="shared" si="0"/>
        <v>0</v>
      </c>
    </row>
    <row r="15" spans="1:18" x14ac:dyDescent="0.2">
      <c r="A15" t="s">
        <v>201</v>
      </c>
      <c r="B15" s="221"/>
      <c r="C15" s="221"/>
      <c r="D15" s="221"/>
      <c r="E15" s="221"/>
      <c r="F15" s="221"/>
      <c r="G15" s="221"/>
      <c r="H15" s="221">
        <f t="shared" si="0"/>
        <v>0</v>
      </c>
    </row>
    <row r="16" spans="1:18" x14ac:dyDescent="0.2">
      <c r="A16" t="s">
        <v>202</v>
      </c>
      <c r="B16" s="221"/>
      <c r="C16" s="221"/>
      <c r="D16" s="221"/>
      <c r="E16" s="221"/>
      <c r="F16" s="221"/>
      <c r="G16" s="221"/>
      <c r="H16" s="221">
        <f t="shared" si="0"/>
        <v>0</v>
      </c>
    </row>
    <row r="17" spans="1:8" ht="25.5" x14ac:dyDescent="0.2">
      <c r="A17" s="222" t="s">
        <v>203</v>
      </c>
      <c r="B17" s="221"/>
      <c r="C17" s="221"/>
      <c r="D17" s="221"/>
      <c r="E17" s="221"/>
      <c r="F17" s="221"/>
      <c r="G17" s="221"/>
      <c r="H17" s="221">
        <f t="shared" si="0"/>
        <v>0</v>
      </c>
    </row>
    <row r="18" spans="1:8" x14ac:dyDescent="0.2">
      <c r="A18" t="s">
        <v>204</v>
      </c>
      <c r="B18" s="221"/>
      <c r="C18" s="221"/>
      <c r="D18" s="221"/>
      <c r="E18" s="221"/>
      <c r="F18" s="221"/>
      <c r="G18" s="221">
        <v>999305</v>
      </c>
      <c r="H18" s="221">
        <f t="shared" si="0"/>
        <v>999305</v>
      </c>
    </row>
    <row r="19" spans="1:8" ht="15" x14ac:dyDescent="0.25">
      <c r="A19" s="220" t="s">
        <v>206</v>
      </c>
      <c r="B19" s="221">
        <f>SUM(B10:B18)</f>
        <v>100000</v>
      </c>
      <c r="C19" s="221">
        <f t="shared" ref="C19:H19" si="1">SUM(C10:C18)</f>
        <v>0</v>
      </c>
      <c r="D19" s="221">
        <f t="shared" si="1"/>
        <v>0</v>
      </c>
      <c r="E19" s="221">
        <f t="shared" si="1"/>
        <v>0</v>
      </c>
      <c r="F19" s="221">
        <f t="shared" si="1"/>
        <v>0</v>
      </c>
      <c r="G19" s="221">
        <f t="shared" si="1"/>
        <v>1366335</v>
      </c>
      <c r="H19" s="221">
        <f t="shared" si="1"/>
        <v>1466335</v>
      </c>
    </row>
    <row r="20" spans="1:8" x14ac:dyDescent="0.2">
      <c r="A20" t="s">
        <v>197</v>
      </c>
      <c r="B20" s="221"/>
      <c r="C20" s="221"/>
      <c r="D20" s="221"/>
      <c r="E20" s="221"/>
      <c r="F20" s="221"/>
      <c r="G20" s="221"/>
      <c r="H20" s="221">
        <f t="shared" si="0"/>
        <v>0</v>
      </c>
    </row>
    <row r="21" spans="1:8" x14ac:dyDescent="0.2">
      <c r="A21" t="s">
        <v>198</v>
      </c>
      <c r="B21" s="221"/>
      <c r="C21" s="221"/>
      <c r="D21" s="221"/>
      <c r="E21" s="221"/>
      <c r="F21" s="221"/>
      <c r="G21" s="221"/>
      <c r="H21" s="221">
        <f t="shared" si="0"/>
        <v>0</v>
      </c>
    </row>
    <row r="22" spans="1:8" ht="25.5" x14ac:dyDescent="0.2">
      <c r="A22" s="222" t="s">
        <v>199</v>
      </c>
      <c r="B22" s="221"/>
      <c r="C22" s="221"/>
      <c r="D22" s="221"/>
      <c r="E22" s="221"/>
      <c r="F22" s="221"/>
      <c r="G22" s="221"/>
      <c r="H22" s="221">
        <f t="shared" si="0"/>
        <v>0</v>
      </c>
    </row>
    <row r="23" spans="1:8" ht="25.5" x14ac:dyDescent="0.2">
      <c r="A23" s="222" t="s">
        <v>200</v>
      </c>
      <c r="B23" s="221"/>
      <c r="C23" s="221"/>
      <c r="D23" s="221"/>
      <c r="E23" s="221"/>
      <c r="F23" s="221"/>
      <c r="G23" s="221"/>
      <c r="H23" s="221">
        <f t="shared" si="0"/>
        <v>0</v>
      </c>
    </row>
    <row r="24" spans="1:8" x14ac:dyDescent="0.2">
      <c r="A24" t="s">
        <v>201</v>
      </c>
      <c r="B24" s="221"/>
      <c r="C24" s="221"/>
      <c r="D24" s="221"/>
      <c r="E24" s="221"/>
      <c r="F24" s="221"/>
      <c r="G24" s="221"/>
      <c r="H24" s="221">
        <f t="shared" si="0"/>
        <v>0</v>
      </c>
    </row>
    <row r="25" spans="1:8" x14ac:dyDescent="0.2">
      <c r="A25" t="s">
        <v>202</v>
      </c>
      <c r="B25" s="221"/>
      <c r="C25" s="221"/>
      <c r="D25" s="221"/>
      <c r="E25" s="221"/>
      <c r="F25" s="221"/>
      <c r="G25" s="221"/>
      <c r="H25" s="221">
        <f t="shared" si="0"/>
        <v>0</v>
      </c>
    </row>
    <row r="26" spans="1:8" ht="25.5" x14ac:dyDescent="0.2">
      <c r="A26" s="222" t="s">
        <v>203</v>
      </c>
      <c r="B26" s="221"/>
      <c r="C26" s="221"/>
      <c r="D26" s="221"/>
      <c r="E26" s="221"/>
      <c r="F26" s="221"/>
      <c r="G26" s="221"/>
      <c r="H26" s="221">
        <f t="shared" si="0"/>
        <v>0</v>
      </c>
    </row>
    <row r="27" spans="1:8" x14ac:dyDescent="0.2">
      <c r="A27" t="s">
        <v>204</v>
      </c>
      <c r="B27" s="221"/>
      <c r="C27" s="221"/>
      <c r="D27" s="221"/>
      <c r="E27" s="221"/>
      <c r="F27" s="221"/>
      <c r="G27" s="221">
        <v>997813.63</v>
      </c>
      <c r="H27" s="221">
        <f t="shared" si="0"/>
        <v>997813.63</v>
      </c>
    </row>
    <row r="28" spans="1:8" ht="15" x14ac:dyDescent="0.25">
      <c r="A28" s="220" t="s">
        <v>239</v>
      </c>
      <c r="B28" s="221">
        <f>SUM(B19:B27)</f>
        <v>100000</v>
      </c>
      <c r="C28" s="221">
        <f t="shared" ref="C28:H28" si="2">SUM(C19:C27)</f>
        <v>0</v>
      </c>
      <c r="D28" s="221">
        <f t="shared" si="2"/>
        <v>0</v>
      </c>
      <c r="E28" s="221">
        <f t="shared" si="2"/>
        <v>0</v>
      </c>
      <c r="F28" s="221">
        <f t="shared" si="2"/>
        <v>0</v>
      </c>
      <c r="G28" s="221">
        <f t="shared" si="2"/>
        <v>2364148.63</v>
      </c>
      <c r="H28" s="221">
        <f t="shared" si="2"/>
        <v>2464148.63</v>
      </c>
    </row>
    <row r="33" spans="8:8" x14ac:dyDescent="0.2">
      <c r="H33" t="s">
        <v>240</v>
      </c>
    </row>
  </sheetData>
  <mergeCells count="4">
    <mergeCell ref="A6:H6"/>
    <mergeCell ref="A2:H2"/>
    <mergeCell ref="A3:H3"/>
    <mergeCell ref="A5:H5"/>
  </mergeCells>
  <pageMargins left="0.51181102362204722" right="0.51181102362204722" top="0.55118110236220474" bottom="0.35433070866141736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J31" sqref="J31"/>
    </sheetView>
  </sheetViews>
  <sheetFormatPr baseColWidth="10" defaultRowHeight="12.75" x14ac:dyDescent="0.2"/>
  <cols>
    <col min="1" max="1" width="52.5703125" customWidth="1"/>
    <col min="2" max="2" width="11.28515625" hidden="1" customWidth="1"/>
    <col min="3" max="3" width="13" customWidth="1"/>
    <col min="7" max="7" width="27.42578125" customWidth="1"/>
    <col min="10" max="10" width="40.85546875" customWidth="1"/>
  </cols>
  <sheetData>
    <row r="1" spans="1:8" x14ac:dyDescent="0.2">
      <c r="D1" t="s">
        <v>207</v>
      </c>
    </row>
    <row r="3" spans="1:8" ht="18.75" x14ac:dyDescent="0.4">
      <c r="A3" s="242" t="s">
        <v>188</v>
      </c>
      <c r="B3" s="242"/>
      <c r="C3" s="242"/>
      <c r="D3" s="242"/>
      <c r="E3" s="224"/>
      <c r="F3" s="224"/>
      <c r="G3" s="224"/>
      <c r="H3" s="224"/>
    </row>
    <row r="4" spans="1:8" ht="18.75" x14ac:dyDescent="0.4">
      <c r="A4" s="242" t="s">
        <v>165</v>
      </c>
      <c r="B4" s="242"/>
      <c r="C4" s="242"/>
      <c r="D4" s="242"/>
      <c r="E4" s="224"/>
      <c r="F4" s="224"/>
      <c r="G4" s="224"/>
      <c r="H4" s="224"/>
    </row>
    <row r="5" spans="1:8" ht="18.75" x14ac:dyDescent="0.4">
      <c r="A5" s="243" t="s">
        <v>208</v>
      </c>
      <c r="B5" s="243"/>
      <c r="C5" s="243"/>
      <c r="D5" s="243"/>
      <c r="E5" s="225"/>
      <c r="F5" s="225"/>
      <c r="G5" s="225"/>
      <c r="H5" s="225"/>
    </row>
    <row r="6" spans="1:8" ht="18.75" x14ac:dyDescent="0.4">
      <c r="A6" s="243">
        <v>2016</v>
      </c>
      <c r="B6" s="243"/>
      <c r="C6" s="243"/>
      <c r="D6" s="243"/>
      <c r="E6" s="225"/>
      <c r="F6" s="225"/>
      <c r="G6" s="225"/>
      <c r="H6" s="225"/>
    </row>
    <row r="7" spans="1:8" ht="14.25" x14ac:dyDescent="0.2">
      <c r="A7" s="241" t="s">
        <v>190</v>
      </c>
      <c r="B7" s="241"/>
      <c r="C7" s="241"/>
      <c r="D7" s="226"/>
      <c r="E7" s="226"/>
      <c r="F7" s="226"/>
      <c r="G7" s="226"/>
      <c r="H7" s="226"/>
    </row>
    <row r="8" spans="1:8" ht="14.25" x14ac:dyDescent="0.2">
      <c r="A8" s="227"/>
      <c r="B8" s="227"/>
      <c r="C8" s="227"/>
      <c r="D8" s="227"/>
      <c r="E8" s="226"/>
      <c r="F8" s="226"/>
      <c r="G8" s="226"/>
      <c r="H8" s="226"/>
    </row>
    <row r="9" spans="1:8" x14ac:dyDescent="0.2">
      <c r="B9" s="40">
        <v>2014</v>
      </c>
      <c r="C9" s="40">
        <v>2015</v>
      </c>
    </row>
    <row r="10" spans="1:8" ht="15" x14ac:dyDescent="0.25">
      <c r="A10" s="220" t="s">
        <v>209</v>
      </c>
    </row>
    <row r="11" spans="1:8" x14ac:dyDescent="0.2">
      <c r="A11" t="s">
        <v>210</v>
      </c>
      <c r="B11" s="228">
        <v>975136</v>
      </c>
      <c r="C11" s="228">
        <v>1779233</v>
      </c>
    </row>
    <row r="12" spans="1:8" x14ac:dyDescent="0.2">
      <c r="A12" t="s">
        <v>211</v>
      </c>
      <c r="B12" s="228"/>
      <c r="C12" s="228"/>
    </row>
    <row r="13" spans="1:8" x14ac:dyDescent="0.2">
      <c r="A13" t="s">
        <v>212</v>
      </c>
      <c r="B13" s="228"/>
      <c r="C13" s="228"/>
    </row>
    <row r="14" spans="1:8" x14ac:dyDescent="0.2">
      <c r="A14" t="s">
        <v>213</v>
      </c>
      <c r="B14" s="228"/>
      <c r="C14" s="228"/>
    </row>
    <row r="15" spans="1:8" x14ac:dyDescent="0.2">
      <c r="A15" t="s">
        <v>214</v>
      </c>
      <c r="B15" s="228">
        <v>-718593</v>
      </c>
      <c r="C15" s="228">
        <v>-859433.31</v>
      </c>
      <c r="E15" s="228"/>
    </row>
    <row r="16" spans="1:8" x14ac:dyDescent="0.2">
      <c r="A16" t="s">
        <v>215</v>
      </c>
      <c r="B16" s="228">
        <v>-75800</v>
      </c>
      <c r="C16" s="228">
        <v>-41600</v>
      </c>
    </row>
    <row r="17" spans="1:3" x14ac:dyDescent="0.2">
      <c r="A17" t="s">
        <v>216</v>
      </c>
      <c r="B17" s="228"/>
      <c r="C17" s="228"/>
    </row>
    <row r="18" spans="1:3" x14ac:dyDescent="0.2">
      <c r="A18" t="s">
        <v>217</v>
      </c>
      <c r="B18" s="228">
        <v>-6822</v>
      </c>
      <c r="C18" s="228">
        <v>-4077</v>
      </c>
    </row>
    <row r="19" spans="1:3" ht="30" x14ac:dyDescent="0.2">
      <c r="A19" s="229" t="s">
        <v>218</v>
      </c>
      <c r="B19" s="230">
        <f>+B11+B12+B13+B15+B16+B17+B18</f>
        <v>173921</v>
      </c>
      <c r="C19" s="230">
        <f>+C11+C12+C13+C15+C16+C17+C18</f>
        <v>874122.69</v>
      </c>
    </row>
    <row r="20" spans="1:3" x14ac:dyDescent="0.2">
      <c r="B20" s="228"/>
      <c r="C20" s="228"/>
    </row>
    <row r="21" spans="1:3" ht="15" x14ac:dyDescent="0.25">
      <c r="A21" s="220" t="s">
        <v>219</v>
      </c>
      <c r="B21" s="228"/>
      <c r="C21" s="228"/>
    </row>
    <row r="22" spans="1:3" x14ac:dyDescent="0.2">
      <c r="A22" t="s">
        <v>220</v>
      </c>
      <c r="B22" s="228"/>
      <c r="C22" s="228"/>
    </row>
    <row r="23" spans="1:3" x14ac:dyDescent="0.2">
      <c r="A23" t="s">
        <v>213</v>
      </c>
      <c r="B23" s="228"/>
      <c r="C23" s="228"/>
    </row>
    <row r="24" spans="1:3" x14ac:dyDescent="0.2">
      <c r="A24" t="s">
        <v>221</v>
      </c>
      <c r="B24" s="228"/>
      <c r="C24" s="228"/>
    </row>
    <row r="25" spans="1:3" x14ac:dyDescent="0.2">
      <c r="A25" t="s">
        <v>222</v>
      </c>
      <c r="B25" s="228"/>
      <c r="C25" s="228"/>
    </row>
    <row r="26" spans="1:3" x14ac:dyDescent="0.2">
      <c r="A26" t="s">
        <v>223</v>
      </c>
      <c r="B26" s="228"/>
      <c r="C26" s="228"/>
    </row>
    <row r="27" spans="1:3" x14ac:dyDescent="0.2">
      <c r="A27" t="s">
        <v>224</v>
      </c>
      <c r="B27" s="228"/>
      <c r="C27" s="228"/>
    </row>
    <row r="28" spans="1:3" x14ac:dyDescent="0.2">
      <c r="A28" t="s">
        <v>225</v>
      </c>
      <c r="B28" s="228">
        <v>-99856</v>
      </c>
      <c r="C28" s="228">
        <v>-42378.05</v>
      </c>
    </row>
    <row r="29" spans="1:3" x14ac:dyDescent="0.2">
      <c r="A29" t="s">
        <v>226</v>
      </c>
      <c r="B29" s="228">
        <v>-380000</v>
      </c>
      <c r="C29" s="228">
        <v>-1527727.95</v>
      </c>
    </row>
    <row r="30" spans="1:3" x14ac:dyDescent="0.2">
      <c r="A30" t="s">
        <v>227</v>
      </c>
      <c r="B30" s="228"/>
      <c r="C30" s="228"/>
    </row>
    <row r="31" spans="1:3" x14ac:dyDescent="0.2">
      <c r="A31" t="s">
        <v>228</v>
      </c>
      <c r="B31" s="228"/>
      <c r="C31" s="228"/>
    </row>
    <row r="32" spans="1:3" ht="30" x14ac:dyDescent="0.2">
      <c r="A32" s="229" t="s">
        <v>229</v>
      </c>
      <c r="B32" s="230">
        <f>+B22+B24+B25+B26+B27+B28+B29+B30+B31</f>
        <v>-479856</v>
      </c>
      <c r="C32" s="230">
        <f>+C22+C24+C25+C26+C27+C28+C29+C30+C31</f>
        <v>-1570106</v>
      </c>
    </row>
    <row r="33" spans="1:3" x14ac:dyDescent="0.2">
      <c r="B33" s="228"/>
      <c r="C33" s="228"/>
    </row>
    <row r="34" spans="1:3" ht="15" x14ac:dyDescent="0.25">
      <c r="A34" s="220" t="s">
        <v>230</v>
      </c>
      <c r="B34" s="228">
        <v>325109</v>
      </c>
      <c r="C34" s="228"/>
    </row>
    <row r="35" spans="1:3" x14ac:dyDescent="0.2">
      <c r="A35" t="s">
        <v>231</v>
      </c>
      <c r="B35" s="228"/>
      <c r="C35" s="228">
        <v>1286000</v>
      </c>
    </row>
    <row r="36" spans="1:3" x14ac:dyDescent="0.2">
      <c r="A36" t="s">
        <v>213</v>
      </c>
      <c r="B36" s="228">
        <f>+B32+B34</f>
        <v>-154747</v>
      </c>
      <c r="C36" s="228">
        <v>10413.75</v>
      </c>
    </row>
    <row r="37" spans="1:3" x14ac:dyDescent="0.2">
      <c r="A37" t="s">
        <v>232</v>
      </c>
      <c r="C37">
        <v>0</v>
      </c>
    </row>
    <row r="38" spans="1:3" ht="30" x14ac:dyDescent="0.2">
      <c r="A38" s="229" t="s">
        <v>233</v>
      </c>
      <c r="C38" s="228">
        <f>+C35-C36</f>
        <v>1275586.25</v>
      </c>
    </row>
    <row r="39" spans="1:3" x14ac:dyDescent="0.2">
      <c r="C39" s="228"/>
    </row>
    <row r="40" spans="1:3" ht="15" x14ac:dyDescent="0.25">
      <c r="A40" s="220" t="s">
        <v>234</v>
      </c>
      <c r="B40" s="228">
        <f>+B19+B32+B38</f>
        <v>-305935</v>
      </c>
      <c r="C40" s="228">
        <f>+C19+C32+C38</f>
        <v>579602.93999999994</v>
      </c>
    </row>
    <row r="41" spans="1:3" ht="15" x14ac:dyDescent="0.25">
      <c r="A41" s="220"/>
    </row>
    <row r="42" spans="1:3" ht="30" x14ac:dyDescent="0.2">
      <c r="A42" s="229" t="s">
        <v>235</v>
      </c>
      <c r="B42" s="231">
        <v>325109</v>
      </c>
      <c r="C42" s="231">
        <v>115388.86</v>
      </c>
    </row>
    <row r="43" spans="1:3" ht="15" x14ac:dyDescent="0.25">
      <c r="A43" s="220"/>
    </row>
    <row r="44" spans="1:3" ht="30" x14ac:dyDescent="0.2">
      <c r="A44" s="229" t="s">
        <v>236</v>
      </c>
      <c r="B44" s="230">
        <f>+B40+B42</f>
        <v>19174</v>
      </c>
      <c r="C44" s="230">
        <f>+C40+C42</f>
        <v>694991.79999999993</v>
      </c>
    </row>
  </sheetData>
  <mergeCells count="5">
    <mergeCell ref="A3:D3"/>
    <mergeCell ref="A4:D4"/>
    <mergeCell ref="A5:D5"/>
    <mergeCell ref="A7:C7"/>
    <mergeCell ref="A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5"/>
  <sheetViews>
    <sheetView topLeftCell="A37" workbookViewId="0">
      <selection activeCell="H52" sqref="H52"/>
    </sheetView>
  </sheetViews>
  <sheetFormatPr baseColWidth="10" defaultRowHeight="12.75" x14ac:dyDescent="0.2"/>
  <cols>
    <col min="1" max="1" width="13.42578125" customWidth="1"/>
    <col min="5" max="5" width="21" style="40" customWidth="1"/>
  </cols>
  <sheetData>
    <row r="2" spans="1:10" s="36" customFormat="1" x14ac:dyDescent="0.2">
      <c r="A2" s="36" t="s">
        <v>40</v>
      </c>
      <c r="E2" s="39"/>
    </row>
    <row r="4" spans="1:10" x14ac:dyDescent="0.2">
      <c r="A4" t="s">
        <v>39</v>
      </c>
    </row>
    <row r="5" spans="1:10" x14ac:dyDescent="0.2">
      <c r="E5" s="39" t="s">
        <v>53</v>
      </c>
      <c r="F5" s="36" t="s">
        <v>55</v>
      </c>
      <c r="G5" s="36" t="s">
        <v>58</v>
      </c>
      <c r="H5" s="36"/>
    </row>
    <row r="6" spans="1:10" x14ac:dyDescent="0.2">
      <c r="A6" s="36" t="s">
        <v>56</v>
      </c>
      <c r="B6" s="36" t="s">
        <v>54</v>
      </c>
      <c r="C6" s="36" t="s">
        <v>55</v>
      </c>
      <c r="D6" s="36"/>
      <c r="E6" s="39" t="s">
        <v>57</v>
      </c>
    </row>
    <row r="8" spans="1:10" x14ac:dyDescent="0.2">
      <c r="A8" s="37" t="s">
        <v>41</v>
      </c>
      <c r="B8">
        <v>791909</v>
      </c>
      <c r="C8" s="38">
        <f t="shared" ref="C8:C14" si="0">B8*0.18</f>
        <v>142543.62</v>
      </c>
      <c r="D8" s="38"/>
      <c r="E8" s="40">
        <v>-727937</v>
      </c>
      <c r="F8" s="38">
        <f>E8*0.18</f>
        <v>-131028.65999999999</v>
      </c>
    </row>
    <row r="9" spans="1:10" x14ac:dyDescent="0.2">
      <c r="A9" s="37" t="s">
        <v>42</v>
      </c>
      <c r="B9">
        <v>527356</v>
      </c>
      <c r="C9" s="38">
        <f t="shared" si="0"/>
        <v>94924.08</v>
      </c>
      <c r="D9" s="38"/>
      <c r="E9" s="40">
        <v>-697196</v>
      </c>
      <c r="F9" s="38">
        <f t="shared" ref="F9:F14" si="1">E9*0.18</f>
        <v>-125495.28</v>
      </c>
    </row>
    <row r="10" spans="1:10" x14ac:dyDescent="0.2">
      <c r="A10" s="37" t="s">
        <v>43</v>
      </c>
      <c r="B10">
        <v>870834</v>
      </c>
      <c r="C10" s="38">
        <f t="shared" si="0"/>
        <v>156750.12</v>
      </c>
      <c r="D10" s="38"/>
      <c r="E10" s="40">
        <v>-658485</v>
      </c>
      <c r="F10" s="38">
        <f t="shared" si="1"/>
        <v>-118527.29999999999</v>
      </c>
      <c r="G10">
        <v>-1415.02</v>
      </c>
    </row>
    <row r="11" spans="1:10" x14ac:dyDescent="0.2">
      <c r="A11" s="37" t="s">
        <v>44</v>
      </c>
      <c r="B11">
        <v>927370</v>
      </c>
      <c r="C11" s="38">
        <f t="shared" si="0"/>
        <v>166926.6</v>
      </c>
      <c r="D11" s="38"/>
      <c r="E11" s="40">
        <v>-851398</v>
      </c>
      <c r="F11" s="38">
        <f t="shared" si="1"/>
        <v>-153251.63999999998</v>
      </c>
      <c r="G11">
        <v>-53166.73</v>
      </c>
    </row>
    <row r="12" spans="1:10" x14ac:dyDescent="0.2">
      <c r="A12" s="37" t="s">
        <v>45</v>
      </c>
      <c r="B12">
        <v>538634</v>
      </c>
      <c r="C12" s="38">
        <f t="shared" si="0"/>
        <v>96954.12</v>
      </c>
      <c r="D12" s="38"/>
      <c r="E12" s="40">
        <v>-459252</v>
      </c>
      <c r="F12" s="38">
        <f t="shared" si="1"/>
        <v>-82665.36</v>
      </c>
      <c r="G12">
        <v>-40000.35</v>
      </c>
    </row>
    <row r="13" spans="1:10" x14ac:dyDescent="0.2">
      <c r="A13" s="37" t="s">
        <v>46</v>
      </c>
      <c r="B13">
        <v>745383</v>
      </c>
      <c r="C13" s="38">
        <f t="shared" si="0"/>
        <v>134168.94</v>
      </c>
      <c r="D13" s="38"/>
      <c r="E13" s="40">
        <v>-731287</v>
      </c>
      <c r="F13" s="38">
        <f t="shared" si="1"/>
        <v>-131631.66</v>
      </c>
      <c r="G13">
        <v>-221614.28</v>
      </c>
    </row>
    <row r="14" spans="1:10" x14ac:dyDescent="0.2">
      <c r="A14" s="37" t="s">
        <v>47</v>
      </c>
      <c r="B14">
        <v>667516</v>
      </c>
      <c r="C14" s="38">
        <f t="shared" si="0"/>
        <v>120152.87999999999</v>
      </c>
      <c r="D14" s="38"/>
      <c r="E14" s="40">
        <v>-669307</v>
      </c>
      <c r="F14" s="38">
        <f t="shared" si="1"/>
        <v>-120475.26</v>
      </c>
      <c r="J14" s="31"/>
    </row>
    <row r="15" spans="1:10" x14ac:dyDescent="0.2">
      <c r="A15" s="37" t="s">
        <v>48</v>
      </c>
    </row>
    <row r="16" spans="1:10" x14ac:dyDescent="0.2">
      <c r="A16" s="37" t="s">
        <v>49</v>
      </c>
    </row>
    <row r="17" spans="1:7" x14ac:dyDescent="0.2">
      <c r="A17" s="37" t="s">
        <v>50</v>
      </c>
    </row>
    <row r="18" spans="1:7" x14ac:dyDescent="0.2">
      <c r="A18" s="37" t="s">
        <v>51</v>
      </c>
    </row>
    <row r="19" spans="1:7" ht="13.5" thickBot="1" x14ac:dyDescent="0.25">
      <c r="A19" s="37" t="s">
        <v>52</v>
      </c>
      <c r="B19" s="41"/>
      <c r="C19" s="41"/>
      <c r="D19" s="41"/>
      <c r="E19" s="42"/>
      <c r="F19" s="41"/>
      <c r="G19" s="41"/>
    </row>
    <row r="20" spans="1:7" x14ac:dyDescent="0.2">
      <c r="A20" s="37" t="s">
        <v>59</v>
      </c>
      <c r="B20">
        <f>SUM(B8:B19)</f>
        <v>5069002</v>
      </c>
      <c r="E20"/>
      <c r="G20">
        <f>SUM(G8:G19)</f>
        <v>-316196.38</v>
      </c>
    </row>
    <row r="22" spans="1:7" x14ac:dyDescent="0.2">
      <c r="D22" s="37" t="s">
        <v>60</v>
      </c>
      <c r="F22" s="43">
        <v>0.6</v>
      </c>
      <c r="G22" s="38">
        <f>G20*F22</f>
        <v>-189717.82800000001</v>
      </c>
    </row>
    <row r="23" spans="1:7" ht="13.5" thickBot="1" x14ac:dyDescent="0.25">
      <c r="D23" s="37" t="s">
        <v>61</v>
      </c>
      <c r="F23" s="43">
        <v>0.4</v>
      </c>
      <c r="G23" s="44">
        <f>G20*F23</f>
        <v>-126478.55200000001</v>
      </c>
    </row>
    <row r="24" spans="1:7" x14ac:dyDescent="0.2">
      <c r="G24" s="38">
        <f>SUM(G22:G23)</f>
        <v>-316196.38</v>
      </c>
    </row>
    <row r="27" spans="1:7" x14ac:dyDescent="0.2">
      <c r="D27" s="36" t="s">
        <v>71</v>
      </c>
      <c r="G27">
        <v>1274715.2157766852</v>
      </c>
    </row>
    <row r="29" spans="1:7" x14ac:dyDescent="0.2">
      <c r="D29" s="37" t="s">
        <v>60</v>
      </c>
      <c r="F29" s="43">
        <v>0.6</v>
      </c>
      <c r="G29" s="85">
        <f>-G27*F29</f>
        <v>-764829.12946601107</v>
      </c>
    </row>
    <row r="30" spans="1:7" x14ac:dyDescent="0.2">
      <c r="D30" s="37" t="s">
        <v>61</v>
      </c>
      <c r="F30" s="43">
        <v>0.4</v>
      </c>
      <c r="G30" s="85">
        <f>-G27*F30</f>
        <v>-509886.08631067409</v>
      </c>
    </row>
    <row r="34" spans="1:7" x14ac:dyDescent="0.2">
      <c r="F34" s="101"/>
    </row>
    <row r="35" spans="1:7" x14ac:dyDescent="0.2">
      <c r="A35" t="s">
        <v>149</v>
      </c>
      <c r="F35" s="170">
        <v>-176570.82142857101</v>
      </c>
    </row>
    <row r="36" spans="1:7" x14ac:dyDescent="0.2">
      <c r="A36" t="s">
        <v>150</v>
      </c>
      <c r="E36" s="169">
        <v>-13466.1016</v>
      </c>
      <c r="F36" s="170">
        <f>E36*2.786</f>
        <v>-37516.559057600003</v>
      </c>
    </row>
    <row r="37" spans="1:7" x14ac:dyDescent="0.2">
      <c r="A37" t="s">
        <v>151</v>
      </c>
      <c r="E37" s="169">
        <v>-13466.1016</v>
      </c>
      <c r="F37" s="170">
        <f>E37*2.786</f>
        <v>-37516.559057600003</v>
      </c>
    </row>
    <row r="38" spans="1:7" x14ac:dyDescent="0.2">
      <c r="A38" t="s">
        <v>152</v>
      </c>
      <c r="E38" s="169">
        <v>-13466.1016</v>
      </c>
      <c r="F38" s="170">
        <f>E38*2.786</f>
        <v>-37516.559057600003</v>
      </c>
    </row>
    <row r="39" spans="1:7" ht="13.5" thickBot="1" x14ac:dyDescent="0.25">
      <c r="A39" t="s">
        <v>153</v>
      </c>
      <c r="E39" s="169">
        <v>-13466.1016</v>
      </c>
      <c r="F39" s="171"/>
    </row>
    <row r="40" spans="1:7" x14ac:dyDescent="0.2">
      <c r="F40" s="170">
        <f>SUM(F35:F39)</f>
        <v>-289120.49860137101</v>
      </c>
    </row>
    <row r="41" spans="1:7" x14ac:dyDescent="0.2">
      <c r="F41" s="101"/>
    </row>
    <row r="42" spans="1:7" x14ac:dyDescent="0.2">
      <c r="D42" s="37" t="s">
        <v>60</v>
      </c>
      <c r="F42" s="43">
        <v>0.6</v>
      </c>
      <c r="G42">
        <f>F40*F42</f>
        <v>-173472.29916082261</v>
      </c>
    </row>
    <row r="43" spans="1:7" x14ac:dyDescent="0.2">
      <c r="D43" s="37" t="s">
        <v>61</v>
      </c>
      <c r="F43" s="43">
        <v>0.4</v>
      </c>
      <c r="G43">
        <f>F40*F43</f>
        <v>-115648.19944054841</v>
      </c>
    </row>
    <row r="46" spans="1:7" x14ac:dyDescent="0.2">
      <c r="C46" s="84" t="s">
        <v>154</v>
      </c>
      <c r="G46">
        <f>-608424.77-1203349.57-800039.96</f>
        <v>-2611814.2999999998</v>
      </c>
    </row>
    <row r="48" spans="1:7" x14ac:dyDescent="0.2">
      <c r="D48" s="37" t="s">
        <v>60</v>
      </c>
      <c r="F48" s="43">
        <v>0.6</v>
      </c>
      <c r="G48" s="38">
        <f>G46*F48</f>
        <v>-1567088.5799999998</v>
      </c>
    </row>
    <row r="49" spans="4:7" x14ac:dyDescent="0.2">
      <c r="D49" s="37" t="s">
        <v>61</v>
      </c>
      <c r="F49" s="43">
        <v>0.4</v>
      </c>
      <c r="G49" s="38">
        <f>G46*F49</f>
        <v>-1044725.72</v>
      </c>
    </row>
    <row r="51" spans="4:7" x14ac:dyDescent="0.2">
      <c r="E51" s="40" t="s">
        <v>59</v>
      </c>
    </row>
    <row r="53" spans="4:7" x14ac:dyDescent="0.2">
      <c r="D53" s="37" t="s">
        <v>60</v>
      </c>
      <c r="G53" s="38">
        <f>SUM(G22,G29,,G42,G48)</f>
        <v>-2695107.8366268333</v>
      </c>
    </row>
    <row r="54" spans="4:7" ht="13.5" thickBot="1" x14ac:dyDescent="0.25">
      <c r="D54" s="37" t="s">
        <v>61</v>
      </c>
      <c r="G54" s="44">
        <f>SUM(G23,G30,G43,G49)</f>
        <v>-1796738.5577512225</v>
      </c>
    </row>
    <row r="55" spans="4:7" x14ac:dyDescent="0.2">
      <c r="G55" s="38">
        <f>SUM(G53:G54)</f>
        <v>-4491846.3943780558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5"/>
  <sheetViews>
    <sheetView topLeftCell="D16" workbookViewId="0">
      <selection activeCell="J37" sqref="J37:K37"/>
    </sheetView>
  </sheetViews>
  <sheetFormatPr baseColWidth="10" defaultRowHeight="12" x14ac:dyDescent="0.2"/>
  <cols>
    <col min="1" max="1" width="26.140625" style="87" customWidth="1"/>
    <col min="2" max="3" width="11.5703125" style="46" bestFit="1" customWidth="1"/>
    <col min="4" max="8" width="12" style="46" bestFit="1" customWidth="1"/>
    <col min="9" max="9" width="11.85546875" style="46" bestFit="1" customWidth="1"/>
    <col min="10" max="13" width="11.5703125" style="46" bestFit="1" customWidth="1"/>
    <col min="14" max="14" width="14.140625" style="47" customWidth="1"/>
    <col min="15" max="16" width="11.42578125" style="46"/>
    <col min="17" max="17" width="11.5703125" style="46" bestFit="1" customWidth="1"/>
    <col min="18" max="16384" width="11.42578125" style="46"/>
  </cols>
  <sheetData>
    <row r="1" spans="1:17" x14ac:dyDescent="0.2">
      <c r="A1" s="86" t="s">
        <v>80</v>
      </c>
      <c r="J1" s="245"/>
      <c r="K1" s="245"/>
      <c r="L1" s="245"/>
      <c r="M1" s="245"/>
      <c r="N1" s="46"/>
    </row>
    <row r="2" spans="1:17" x14ac:dyDescent="0.2">
      <c r="A2" s="86" t="s">
        <v>62</v>
      </c>
      <c r="C2" s="49"/>
      <c r="D2" s="49"/>
      <c r="E2" s="49"/>
      <c r="F2" s="49"/>
      <c r="G2" s="49"/>
      <c r="H2" s="49"/>
      <c r="I2" s="49"/>
      <c r="J2" s="50"/>
      <c r="K2" s="48"/>
      <c r="L2" s="48"/>
      <c r="M2" s="48"/>
      <c r="N2" s="46"/>
    </row>
    <row r="3" spans="1:17" x14ac:dyDescent="0.2">
      <c r="A3" s="86"/>
      <c r="J3" s="48"/>
      <c r="K3" s="48"/>
      <c r="L3" s="48"/>
      <c r="M3" s="48"/>
      <c r="N3" s="46"/>
    </row>
    <row r="4" spans="1:17" x14ac:dyDescent="0.2">
      <c r="B4" s="246" t="s">
        <v>81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7" x14ac:dyDescent="0.2">
      <c r="A5" s="88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6"/>
    </row>
    <row r="6" spans="1:17" x14ac:dyDescent="0.2">
      <c r="B6" s="246" t="s">
        <v>63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Q6" s="52"/>
    </row>
    <row r="7" spans="1:17" x14ac:dyDescent="0.2">
      <c r="A7" s="88"/>
      <c r="B7" s="51"/>
      <c r="C7" s="51"/>
      <c r="D7" s="51"/>
      <c r="E7" s="51"/>
      <c r="F7" s="51"/>
      <c r="G7" s="51"/>
      <c r="H7" s="51"/>
      <c r="I7" s="51"/>
      <c r="J7" s="53"/>
      <c r="K7" s="53"/>
      <c r="L7" s="53"/>
      <c r="M7" s="53"/>
      <c r="N7" s="53"/>
      <c r="O7" s="53"/>
      <c r="Q7" s="51"/>
    </row>
    <row r="8" spans="1:17" ht="24" x14ac:dyDescent="0.2">
      <c r="A8" s="88"/>
      <c r="B8" s="54">
        <v>41275</v>
      </c>
      <c r="C8" s="54">
        <v>41306</v>
      </c>
      <c r="D8" s="54">
        <v>41334</v>
      </c>
      <c r="E8" s="54">
        <v>41365</v>
      </c>
      <c r="F8" s="54">
        <v>41395</v>
      </c>
      <c r="G8" s="54">
        <v>41426</v>
      </c>
      <c r="H8" s="54">
        <v>41456</v>
      </c>
      <c r="I8" s="164">
        <v>41487</v>
      </c>
      <c r="J8" s="54">
        <v>41518</v>
      </c>
      <c r="K8" s="54">
        <v>41548</v>
      </c>
      <c r="L8" s="54">
        <v>41579</v>
      </c>
      <c r="M8" s="54">
        <v>41609</v>
      </c>
      <c r="N8" s="55" t="s">
        <v>82</v>
      </c>
      <c r="P8" s="56"/>
    </row>
    <row r="9" spans="1:17" x14ac:dyDescent="0.2">
      <c r="A9" s="89"/>
      <c r="P9" s="56"/>
    </row>
    <row r="10" spans="1:17" s="57" customFormat="1" x14ac:dyDescent="0.2">
      <c r="A10" s="90" t="s">
        <v>64</v>
      </c>
      <c r="B10" s="57">
        <v>791909</v>
      </c>
      <c r="C10" s="57">
        <v>527356</v>
      </c>
      <c r="D10" s="57">
        <v>870834</v>
      </c>
      <c r="E10" s="57">
        <v>927370</v>
      </c>
      <c r="F10" s="57">
        <v>538634</v>
      </c>
      <c r="G10" s="57">
        <v>745383</v>
      </c>
      <c r="H10" s="57">
        <v>667516</v>
      </c>
      <c r="I10" s="57">
        <v>745383</v>
      </c>
      <c r="J10" s="57">
        <v>745383</v>
      </c>
      <c r="K10" s="57">
        <v>745383</v>
      </c>
      <c r="L10" s="57">
        <v>745383</v>
      </c>
      <c r="M10" s="57">
        <v>745383</v>
      </c>
      <c r="N10" s="58">
        <f>SUM(B10:M10)</f>
        <v>8795917</v>
      </c>
    </row>
    <row r="11" spans="1:17" x14ac:dyDescent="0.2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59"/>
      <c r="O11" s="45"/>
      <c r="P11" s="56"/>
      <c r="Q11" s="45"/>
    </row>
    <row r="12" spans="1:17" x14ac:dyDescent="0.2">
      <c r="A12" s="8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59"/>
      <c r="O12" s="45"/>
      <c r="P12" s="56"/>
      <c r="Q12" s="45"/>
    </row>
    <row r="13" spans="1:17" x14ac:dyDescent="0.2">
      <c r="A13" s="87" t="s">
        <v>83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3"/>
      <c r="O13" s="45"/>
      <c r="P13" s="45"/>
      <c r="Q13" s="45"/>
    </row>
    <row r="14" spans="1:17" s="47" customFormat="1" x14ac:dyDescent="0.2">
      <c r="A14" s="87" t="s">
        <v>84</v>
      </c>
      <c r="B14" s="45"/>
      <c r="C14" s="45"/>
      <c r="D14" s="45"/>
      <c r="E14" s="45"/>
      <c r="F14" s="45"/>
      <c r="G14" s="45"/>
      <c r="H14" s="45"/>
      <c r="I14" s="45"/>
      <c r="J14" s="45"/>
      <c r="K14" s="61"/>
      <c r="L14" s="61"/>
      <c r="M14" s="61"/>
      <c r="N14" s="59"/>
      <c r="O14" s="59"/>
      <c r="P14" s="59"/>
      <c r="Q14" s="59"/>
    </row>
    <row r="15" spans="1:17" x14ac:dyDescent="0.2">
      <c r="A15" s="91" t="s">
        <v>65</v>
      </c>
      <c r="B15" s="62">
        <f>SUM(B10:B14)</f>
        <v>791909</v>
      </c>
      <c r="C15" s="62">
        <f t="shared" ref="C15:N15" si="0">SUM(C10:C14)</f>
        <v>527356</v>
      </c>
      <c r="D15" s="62">
        <f t="shared" si="0"/>
        <v>870834</v>
      </c>
      <c r="E15" s="62">
        <f t="shared" si="0"/>
        <v>927370</v>
      </c>
      <c r="F15" s="62">
        <f t="shared" si="0"/>
        <v>538634</v>
      </c>
      <c r="G15" s="62">
        <f t="shared" si="0"/>
        <v>745383</v>
      </c>
      <c r="H15" s="62">
        <f t="shared" si="0"/>
        <v>667516</v>
      </c>
      <c r="I15" s="62">
        <f t="shared" si="0"/>
        <v>745383</v>
      </c>
      <c r="J15" s="62">
        <f t="shared" si="0"/>
        <v>745383</v>
      </c>
      <c r="K15" s="62">
        <f t="shared" si="0"/>
        <v>745383</v>
      </c>
      <c r="L15" s="62">
        <f t="shared" si="0"/>
        <v>745383</v>
      </c>
      <c r="M15" s="62">
        <f t="shared" si="0"/>
        <v>745383</v>
      </c>
      <c r="N15" s="63">
        <f t="shared" si="0"/>
        <v>8795917</v>
      </c>
      <c r="O15" s="45"/>
      <c r="P15" s="45"/>
      <c r="Q15" s="45"/>
    </row>
    <row r="16" spans="1:17" s="47" customFormat="1" x14ac:dyDescent="0.2">
      <c r="A16" s="87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3"/>
      <c r="O16" s="59"/>
      <c r="P16" s="59"/>
      <c r="Q16" s="59"/>
    </row>
    <row r="17" spans="1:17" s="47" customFormat="1" x14ac:dyDescent="0.2">
      <c r="A17" s="87"/>
      <c r="B17" s="65">
        <v>0</v>
      </c>
      <c r="C17" s="65"/>
      <c r="D17" s="65">
        <v>0</v>
      </c>
      <c r="E17" s="65">
        <v>0</v>
      </c>
      <c r="F17" s="65">
        <v>0</v>
      </c>
      <c r="G17" s="65">
        <v>0</v>
      </c>
      <c r="H17" s="65"/>
      <c r="I17" s="65"/>
      <c r="J17" s="65">
        <v>0</v>
      </c>
      <c r="K17" s="65">
        <v>0</v>
      </c>
      <c r="L17" s="65">
        <v>0</v>
      </c>
      <c r="M17" s="65">
        <v>0</v>
      </c>
      <c r="N17" s="66"/>
      <c r="O17" s="59"/>
      <c r="P17" s="59"/>
      <c r="Q17" s="59"/>
    </row>
    <row r="18" spans="1:17" x14ac:dyDescent="0.2">
      <c r="A18" s="92" t="s">
        <v>66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59"/>
      <c r="O18" s="45"/>
      <c r="P18" s="45"/>
      <c r="Q18" s="45"/>
    </row>
    <row r="19" spans="1:17" x14ac:dyDescent="0.2">
      <c r="A19" s="93" t="s">
        <v>67</v>
      </c>
      <c r="O19" s="45"/>
      <c r="P19" s="45"/>
      <c r="Q19" s="45"/>
    </row>
    <row r="20" spans="1:17" x14ac:dyDescent="0.2">
      <c r="A20" s="94" t="s">
        <v>86</v>
      </c>
      <c r="B20" s="45">
        <v>21116.14</v>
      </c>
      <c r="C20" s="45">
        <v>31624.51</v>
      </c>
      <c r="D20" s="45">
        <v>32146.26</v>
      </c>
      <c r="E20" s="45">
        <v>33381.879999999997</v>
      </c>
      <c r="F20" s="45">
        <v>35431.89</v>
      </c>
      <c r="G20" s="45">
        <v>34719.21</v>
      </c>
      <c r="H20" s="45">
        <v>45336.65</v>
      </c>
      <c r="I20" s="45">
        <v>33393.791428571429</v>
      </c>
      <c r="J20" s="45">
        <v>33393.791428571429</v>
      </c>
      <c r="K20" s="45">
        <v>33393.791428571429</v>
      </c>
      <c r="L20" s="45">
        <v>33393.791428571429</v>
      </c>
      <c r="M20" s="45">
        <v>33393.791428571429</v>
      </c>
      <c r="N20" s="59">
        <f t="shared" ref="N20:N25" si="1">SUM(B20:M20)</f>
        <v>400725.49714285723</v>
      </c>
      <c r="O20" s="45"/>
      <c r="P20" s="45"/>
      <c r="Q20" s="45"/>
    </row>
    <row r="21" spans="1:17" x14ac:dyDescent="0.2">
      <c r="A21" s="94" t="s">
        <v>68</v>
      </c>
      <c r="B21" s="45">
        <v>6464.1</v>
      </c>
      <c r="C21" s="45">
        <v>88872.41</v>
      </c>
      <c r="D21" s="45">
        <v>23910.99</v>
      </c>
      <c r="E21" s="45">
        <v>5747.23</v>
      </c>
      <c r="F21" s="45">
        <v>47938.41</v>
      </c>
      <c r="G21" s="45">
        <v>80027.75</v>
      </c>
      <c r="H21" s="45">
        <v>20085.349999999999</v>
      </c>
      <c r="I21" s="45">
        <v>39006.60571428571</v>
      </c>
      <c r="J21" s="45">
        <v>39006.60571428571</v>
      </c>
      <c r="K21" s="45">
        <v>39006.60571428571</v>
      </c>
      <c r="L21" s="45">
        <v>39006.60571428571</v>
      </c>
      <c r="M21" s="45">
        <v>39006.60571428571</v>
      </c>
      <c r="N21" s="59">
        <f t="shared" si="1"/>
        <v>468079.26857142843</v>
      </c>
      <c r="O21" s="45"/>
      <c r="P21" s="45"/>
      <c r="Q21" s="45"/>
    </row>
    <row r="22" spans="1:17" x14ac:dyDescent="0.2">
      <c r="A22" s="94" t="s">
        <v>69</v>
      </c>
      <c r="B22" s="45">
        <v>148.01</v>
      </c>
      <c r="C22" s="45">
        <v>78.28</v>
      </c>
      <c r="D22" s="45">
        <v>79.14</v>
      </c>
      <c r="E22" s="45">
        <v>161.96</v>
      </c>
      <c r="F22" s="45">
        <v>117.08</v>
      </c>
      <c r="G22" s="45">
        <v>68.23</v>
      </c>
      <c r="H22" s="45">
        <v>99.92</v>
      </c>
      <c r="I22" s="45">
        <v>68.23</v>
      </c>
      <c r="J22" s="45">
        <v>68.23</v>
      </c>
      <c r="K22" s="45">
        <v>68.23</v>
      </c>
      <c r="L22" s="45">
        <v>68.23</v>
      </c>
      <c r="M22" s="45">
        <v>68.23</v>
      </c>
      <c r="N22" s="59">
        <f t="shared" si="1"/>
        <v>1093.77</v>
      </c>
      <c r="O22" s="45"/>
      <c r="P22" s="45"/>
      <c r="Q22" s="45"/>
    </row>
    <row r="23" spans="1:17" x14ac:dyDescent="0.2">
      <c r="A23" s="94" t="s">
        <v>70</v>
      </c>
      <c r="B23" s="45">
        <v>223422.75</v>
      </c>
      <c r="C23" s="45">
        <f>165789.33+54840.18</f>
        <v>220629.50999999998</v>
      </c>
      <c r="D23" s="45">
        <v>319945.37</v>
      </c>
      <c r="E23" s="45">
        <v>494293.41</v>
      </c>
      <c r="F23" s="45">
        <v>211959.81</v>
      </c>
      <c r="G23" s="45">
        <v>249413.94</v>
      </c>
      <c r="H23" s="45">
        <v>439437.12</v>
      </c>
      <c r="I23" s="45">
        <v>344073.69285714289</v>
      </c>
      <c r="J23" s="45">
        <v>344073.69285714289</v>
      </c>
      <c r="K23" s="45">
        <v>344073.69285714289</v>
      </c>
      <c r="L23" s="45">
        <v>344073.69285714289</v>
      </c>
      <c r="M23" s="45">
        <v>344073.69285714289</v>
      </c>
      <c r="N23" s="59">
        <f t="shared" si="1"/>
        <v>3879470.3742857152</v>
      </c>
      <c r="O23" s="45"/>
      <c r="P23" s="45"/>
      <c r="Q23" s="45"/>
    </row>
    <row r="24" spans="1:17" x14ac:dyDescent="0.2">
      <c r="A24" s="94" t="s">
        <v>85</v>
      </c>
      <c r="B24" s="163">
        <v>0</v>
      </c>
      <c r="C24" s="163">
        <v>0</v>
      </c>
      <c r="D24" s="163">
        <v>1415.02</v>
      </c>
      <c r="E24" s="163">
        <v>53166.73</v>
      </c>
      <c r="F24" s="163">
        <v>40000.35</v>
      </c>
      <c r="G24" s="163">
        <v>221614.28</v>
      </c>
      <c r="H24" s="163"/>
      <c r="I24" s="168">
        <v>75000</v>
      </c>
      <c r="J24" s="168">
        <v>75000</v>
      </c>
      <c r="K24" s="168">
        <v>75000</v>
      </c>
      <c r="L24" s="168">
        <v>75000</v>
      </c>
      <c r="M24" s="168">
        <v>75000</v>
      </c>
      <c r="N24" s="59">
        <f t="shared" si="1"/>
        <v>691196.38</v>
      </c>
      <c r="O24" s="45"/>
      <c r="P24" s="45"/>
      <c r="Q24" s="45"/>
    </row>
    <row r="25" spans="1:17" x14ac:dyDescent="0.2">
      <c r="A25" s="94" t="s">
        <v>89</v>
      </c>
      <c r="B25" s="45">
        <v>182102.17368238358</v>
      </c>
      <c r="C25" s="45">
        <v>182102.17368238358</v>
      </c>
      <c r="D25" s="45">
        <v>182102.17368238358</v>
      </c>
      <c r="E25" s="45">
        <v>182102.17368238358</v>
      </c>
      <c r="F25" s="45">
        <v>182102.17368238358</v>
      </c>
      <c r="G25" s="45">
        <v>182102.17368238358</v>
      </c>
      <c r="H25" s="45">
        <v>182102.17368238358</v>
      </c>
      <c r="I25" s="45">
        <v>182102.17368238358</v>
      </c>
      <c r="J25" s="45">
        <v>182102.17368238358</v>
      </c>
      <c r="K25" s="45">
        <v>182102.17368238358</v>
      </c>
      <c r="L25" s="45">
        <v>182102.17368238358</v>
      </c>
      <c r="M25" s="45">
        <v>182102.17368238358</v>
      </c>
      <c r="N25" s="59">
        <f t="shared" si="1"/>
        <v>2185226.0841886024</v>
      </c>
      <c r="O25" s="45"/>
      <c r="P25" s="45"/>
      <c r="Q25" s="45"/>
    </row>
    <row r="26" spans="1:17" x14ac:dyDescent="0.2">
      <c r="N26" s="59"/>
    </row>
    <row r="27" spans="1:17" s="47" customFormat="1" x14ac:dyDescent="0.2">
      <c r="A27" s="93" t="s">
        <v>72</v>
      </c>
      <c r="B27" s="67">
        <f>SUM(B20:B26)</f>
        <v>433253.17368238361</v>
      </c>
      <c r="C27" s="67">
        <f t="shared" ref="C27:H27" si="2">SUM(C20:C26)</f>
        <v>523306.88368238357</v>
      </c>
      <c r="D27" s="67">
        <f t="shared" si="2"/>
        <v>559598.95368238364</v>
      </c>
      <c r="E27" s="67">
        <f t="shared" si="2"/>
        <v>768853.38368238357</v>
      </c>
      <c r="F27" s="67">
        <f t="shared" si="2"/>
        <v>517549.71368238353</v>
      </c>
      <c r="G27" s="67">
        <f t="shared" si="2"/>
        <v>767945.58368238364</v>
      </c>
      <c r="H27" s="67">
        <f t="shared" si="2"/>
        <v>687061.21368238353</v>
      </c>
      <c r="I27" s="67">
        <f>SUM(I20:I26)</f>
        <v>673644.49368238356</v>
      </c>
      <c r="J27" s="67">
        <f>SUM(J20:J26)</f>
        <v>673644.49368238356</v>
      </c>
      <c r="K27" s="67">
        <f>SUM(K20:K26)</f>
        <v>673644.49368238356</v>
      </c>
      <c r="L27" s="67">
        <f>SUM(L20:L26)</f>
        <v>673644.49368238356</v>
      </c>
      <c r="M27" s="67">
        <f>SUM(M20:M26)</f>
        <v>673644.49368238356</v>
      </c>
      <c r="N27" s="63">
        <f>SUM(B27:M27)</f>
        <v>7625791.3741886029</v>
      </c>
      <c r="O27" s="59"/>
      <c r="P27" s="59"/>
      <c r="Q27" s="59"/>
    </row>
    <row r="28" spans="1:17" x14ac:dyDescent="0.2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59"/>
      <c r="O28" s="45"/>
      <c r="P28" s="45"/>
      <c r="Q28" s="45"/>
    </row>
    <row r="29" spans="1:17" x14ac:dyDescent="0.2">
      <c r="A29" s="93"/>
      <c r="N29" s="59"/>
    </row>
    <row r="30" spans="1:17" s="47" customFormat="1" x14ac:dyDescent="0.2">
      <c r="A30" s="91" t="s">
        <v>73</v>
      </c>
      <c r="B30" s="67">
        <f>B15-B27</f>
        <v>358655.82631761639</v>
      </c>
      <c r="C30" s="67">
        <f t="shared" ref="C30:M30" si="3">C15-C27</f>
        <v>4049.1163176164264</v>
      </c>
      <c r="D30" s="67">
        <f t="shared" si="3"/>
        <v>311235.04631761636</v>
      </c>
      <c r="E30" s="67">
        <f t="shared" si="3"/>
        <v>158516.61631761643</v>
      </c>
      <c r="F30" s="67">
        <f t="shared" si="3"/>
        <v>21084.286317616468</v>
      </c>
      <c r="G30" s="67">
        <f t="shared" si="3"/>
        <v>-22562.583682383643</v>
      </c>
      <c r="H30" s="67">
        <f t="shared" si="3"/>
        <v>-19545.213682383532</v>
      </c>
      <c r="I30" s="67">
        <f t="shared" si="3"/>
        <v>71738.50631761644</v>
      </c>
      <c r="J30" s="67">
        <f t="shared" si="3"/>
        <v>71738.50631761644</v>
      </c>
      <c r="K30" s="67">
        <f t="shared" si="3"/>
        <v>71738.50631761644</v>
      </c>
      <c r="L30" s="67">
        <f t="shared" si="3"/>
        <v>71738.50631761644</v>
      </c>
      <c r="M30" s="67">
        <f t="shared" si="3"/>
        <v>71738.50631761644</v>
      </c>
      <c r="N30" s="67">
        <f>SUM(B30:M30)</f>
        <v>1170125.6258113971</v>
      </c>
      <c r="O30" s="59"/>
      <c r="P30" s="59"/>
      <c r="Q30" s="59"/>
    </row>
    <row r="31" spans="1:17" x14ac:dyDescent="0.2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59"/>
      <c r="O31" s="45"/>
      <c r="P31" s="45"/>
      <c r="Q31" s="45"/>
    </row>
    <row r="32" spans="1:17" s="47" customFormat="1" x14ac:dyDescent="0.2">
      <c r="A32" s="87"/>
      <c r="B32" s="65"/>
      <c r="C32" s="65"/>
      <c r="D32" s="65"/>
      <c r="E32" s="65"/>
      <c r="F32" s="65"/>
      <c r="G32" s="65"/>
      <c r="H32" s="68"/>
      <c r="I32" s="65"/>
      <c r="J32" s="65"/>
      <c r="K32" s="65"/>
      <c r="L32" s="65"/>
      <c r="M32" s="65"/>
      <c r="N32" s="66"/>
      <c r="O32" s="59"/>
      <c r="P32" s="59"/>
      <c r="Q32" s="59"/>
    </row>
    <row r="33" spans="1:17" x14ac:dyDescent="0.2">
      <c r="A33" s="93" t="s">
        <v>74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59"/>
      <c r="O33" s="45"/>
      <c r="P33" s="45"/>
      <c r="Q33" s="45"/>
    </row>
    <row r="34" spans="1:17" x14ac:dyDescent="0.2">
      <c r="A34" s="94" t="s">
        <v>75</v>
      </c>
      <c r="B34" s="46">
        <v>-41556.03</v>
      </c>
      <c r="C34" s="46">
        <v>-44587.61</v>
      </c>
      <c r="D34" s="69">
        <v>-31502.15</v>
      </c>
      <c r="E34" s="69">
        <v>-48603.64</v>
      </c>
      <c r="F34" s="69">
        <v>-44761.86</v>
      </c>
      <c r="G34" s="69">
        <v>-40440.44</v>
      </c>
      <c r="H34" s="69">
        <v>-51699.6</v>
      </c>
      <c r="I34" s="69">
        <v>-40440.44</v>
      </c>
      <c r="J34" s="69">
        <v>-40440.44</v>
      </c>
      <c r="K34" s="69">
        <v>-40440.44</v>
      </c>
      <c r="L34" s="69">
        <v>-40440.44</v>
      </c>
      <c r="M34" s="69">
        <v>-40440.44</v>
      </c>
      <c r="N34" s="69">
        <f>SUM(B34:M34)</f>
        <v>-505353.52999999997</v>
      </c>
      <c r="O34" s="45"/>
      <c r="P34" s="45"/>
      <c r="Q34" s="45"/>
    </row>
    <row r="35" spans="1:17" x14ac:dyDescent="0.2">
      <c r="A35" s="87" t="s">
        <v>76</v>
      </c>
      <c r="B35" s="45">
        <v>0.76</v>
      </c>
      <c r="C35" s="45">
        <v>1.17</v>
      </c>
      <c r="D35" s="45">
        <v>1.22</v>
      </c>
      <c r="E35" s="45">
        <v>421.36</v>
      </c>
      <c r="F35" s="45">
        <v>1.85</v>
      </c>
      <c r="G35" s="45">
        <v>20.07</v>
      </c>
      <c r="H35" s="45">
        <v>292.63</v>
      </c>
      <c r="I35" s="45"/>
      <c r="J35" s="45"/>
      <c r="K35" s="45"/>
      <c r="L35" s="45"/>
      <c r="M35" s="45"/>
      <c r="N35" s="69">
        <f>SUM(B35:M35)</f>
        <v>739.06</v>
      </c>
      <c r="O35" s="45"/>
      <c r="P35" s="45"/>
      <c r="Q35" s="45"/>
    </row>
    <row r="36" spans="1:17" x14ac:dyDescent="0.2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69"/>
      <c r="O36" s="45"/>
      <c r="P36" s="45"/>
      <c r="Q36" s="45"/>
    </row>
    <row r="37" spans="1:17" x14ac:dyDescent="0.2">
      <c r="A37" s="89" t="s">
        <v>87</v>
      </c>
      <c r="B37" s="45">
        <v>27295</v>
      </c>
      <c r="C37" s="45">
        <v>4303.3900000000003</v>
      </c>
      <c r="D37" s="45">
        <v>0</v>
      </c>
      <c r="E37" s="45">
        <v>0</v>
      </c>
      <c r="F37" s="45">
        <v>0</v>
      </c>
      <c r="G37" s="45">
        <v>0</v>
      </c>
      <c r="H37" s="45">
        <v>4237.28</v>
      </c>
      <c r="I37" s="45"/>
      <c r="J37" s="70"/>
      <c r="L37" s="70"/>
      <c r="M37" s="70"/>
      <c r="N37" s="69">
        <f>SUM(B37:M37)</f>
        <v>35835.67</v>
      </c>
      <c r="O37" s="45"/>
      <c r="P37" s="45"/>
      <c r="Q37" s="45"/>
    </row>
    <row r="38" spans="1:17" x14ac:dyDescent="0.2">
      <c r="A38" s="89" t="s">
        <v>88</v>
      </c>
      <c r="B38" s="45"/>
      <c r="C38" s="45"/>
      <c r="D38" s="45"/>
      <c r="E38" s="45"/>
      <c r="F38" s="45"/>
      <c r="G38" s="45"/>
      <c r="H38" s="45"/>
      <c r="I38" s="45"/>
      <c r="J38" s="70"/>
      <c r="K38" s="70"/>
      <c r="L38" s="70"/>
      <c r="M38" s="70"/>
      <c r="N38" s="69"/>
      <c r="O38" s="45"/>
      <c r="P38" s="45"/>
      <c r="Q38" s="45"/>
    </row>
    <row r="39" spans="1:17" x14ac:dyDescent="0.2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167"/>
      <c r="O39" s="45"/>
      <c r="P39" s="45"/>
      <c r="Q39" s="45"/>
    </row>
    <row r="40" spans="1:17" x14ac:dyDescent="0.2">
      <c r="A40" s="89"/>
      <c r="N40" s="166"/>
      <c r="O40" s="45"/>
      <c r="P40" s="45"/>
      <c r="Q40" s="45"/>
    </row>
    <row r="41" spans="1:17" ht="12.75" thickBot="1" x14ac:dyDescent="0.25">
      <c r="A41" s="91" t="s">
        <v>77</v>
      </c>
      <c r="B41" s="71">
        <f>SUM(B30:B39)</f>
        <v>344395.55631761637</v>
      </c>
      <c r="C41" s="71">
        <f t="shared" ref="C41:L41" si="4">SUM(C30:C39)</f>
        <v>-36233.933682383577</v>
      </c>
      <c r="D41" s="71">
        <f t="shared" si="4"/>
        <v>279734.11631761631</v>
      </c>
      <c r="E41" s="71">
        <f t="shared" si="4"/>
        <v>110334.33631761643</v>
      </c>
      <c r="F41" s="71">
        <f t="shared" si="4"/>
        <v>-23675.723682383534</v>
      </c>
      <c r="G41" s="71">
        <f t="shared" si="4"/>
        <v>-62982.953682383646</v>
      </c>
      <c r="H41" s="71">
        <f t="shared" si="4"/>
        <v>-66714.903682383534</v>
      </c>
      <c r="I41" s="71">
        <f t="shared" si="4"/>
        <v>31298.066317616438</v>
      </c>
      <c r="J41" s="71">
        <f t="shared" si="4"/>
        <v>31298.066317616438</v>
      </c>
      <c r="K41" s="71">
        <f t="shared" si="4"/>
        <v>31298.066317616438</v>
      </c>
      <c r="L41" s="71">
        <f t="shared" si="4"/>
        <v>31298.066317616438</v>
      </c>
      <c r="M41" s="71">
        <f>SUM(M30:M39)</f>
        <v>31298.066317616438</v>
      </c>
      <c r="N41" s="165">
        <f>SUM(B41:M41)</f>
        <v>701346.82581139728</v>
      </c>
      <c r="O41" s="45"/>
      <c r="P41" s="45"/>
      <c r="Q41" s="45"/>
    </row>
    <row r="42" spans="1:17" ht="12.75" thickTop="1" x14ac:dyDescent="0.2">
      <c r="A42" s="95" t="s">
        <v>78</v>
      </c>
      <c r="B42" s="70">
        <f>+B41*0.3</f>
        <v>103318.66689528491</v>
      </c>
      <c r="C42" s="45">
        <f t="shared" ref="C42:M42" si="5">+C41*0.3</f>
        <v>-10870.180104715073</v>
      </c>
      <c r="D42" s="70">
        <f t="shared" si="5"/>
        <v>83920.234895284884</v>
      </c>
      <c r="E42" s="45">
        <f t="shared" si="5"/>
        <v>33100.300895284927</v>
      </c>
      <c r="F42" s="45">
        <f t="shared" si="5"/>
        <v>-7102.7171047150596</v>
      </c>
      <c r="G42" s="72">
        <f t="shared" si="5"/>
        <v>-18894.886104715093</v>
      </c>
      <c r="H42" s="72">
        <f t="shared" si="5"/>
        <v>-20014.471104715059</v>
      </c>
      <c r="I42" s="45">
        <f t="shared" si="5"/>
        <v>9389.419895284931</v>
      </c>
      <c r="J42" s="45">
        <f t="shared" si="5"/>
        <v>9389.419895284931</v>
      </c>
      <c r="K42" s="45">
        <f t="shared" si="5"/>
        <v>9389.419895284931</v>
      </c>
      <c r="L42" s="45">
        <f t="shared" si="5"/>
        <v>9389.419895284931</v>
      </c>
      <c r="M42" s="45">
        <f t="shared" si="5"/>
        <v>9389.419895284931</v>
      </c>
      <c r="N42" s="45">
        <f>SUM(B42:M42)</f>
        <v>210404.04774341907</v>
      </c>
      <c r="O42" s="45"/>
      <c r="P42" s="45"/>
      <c r="Q42" s="45"/>
    </row>
    <row r="43" spans="1:17" x14ac:dyDescent="0.2">
      <c r="A43" s="95"/>
      <c r="B43" s="70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59"/>
      <c r="O43" s="45"/>
      <c r="P43" s="45"/>
      <c r="Q43" s="45"/>
    </row>
    <row r="44" spans="1:17" x14ac:dyDescent="0.2">
      <c r="A44" s="95" t="s">
        <v>79</v>
      </c>
      <c r="B44" s="70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59"/>
      <c r="O44" s="45"/>
      <c r="P44" s="45"/>
      <c r="Q44" s="45"/>
    </row>
    <row r="45" spans="1:17" x14ac:dyDescent="0.2">
      <c r="B45" s="70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O45" s="45"/>
      <c r="P45" s="45"/>
      <c r="Q45" s="45"/>
    </row>
    <row r="46" spans="1:17" s="74" customFormat="1" x14ac:dyDescent="0.2">
      <c r="A46" s="96"/>
      <c r="B46" s="77"/>
      <c r="C46" s="77"/>
      <c r="D46" s="77"/>
      <c r="E46" s="77"/>
      <c r="F46" s="77"/>
      <c r="G46" s="77"/>
      <c r="H46" s="77"/>
      <c r="I46" s="77"/>
      <c r="J46" s="73"/>
      <c r="K46" s="73"/>
      <c r="L46" s="73"/>
      <c r="M46" s="73"/>
      <c r="N46" s="73"/>
      <c r="O46" s="73"/>
      <c r="P46" s="73"/>
      <c r="Q46" s="73"/>
    </row>
    <row r="47" spans="1:17" s="74" customFormat="1" x14ac:dyDescent="0.2">
      <c r="A47" s="97"/>
      <c r="B47" s="78"/>
      <c r="C47" s="79"/>
      <c r="D47" s="79"/>
      <c r="E47" s="79"/>
      <c r="F47" s="79"/>
      <c r="G47" s="79"/>
      <c r="H47" s="79"/>
      <c r="I47" s="79"/>
      <c r="J47" s="77"/>
      <c r="K47" s="77"/>
      <c r="L47" s="77"/>
      <c r="M47" s="77"/>
      <c r="N47" s="75"/>
      <c r="O47" s="73"/>
      <c r="P47" s="73"/>
      <c r="Q47" s="73"/>
    </row>
    <row r="48" spans="1:17" s="74" customFormat="1" x14ac:dyDescent="0.2">
      <c r="A48" s="96"/>
      <c r="B48" s="73"/>
      <c r="C48" s="244"/>
      <c r="D48" s="244"/>
      <c r="E48" s="73"/>
      <c r="F48" s="73"/>
      <c r="G48" s="73"/>
      <c r="H48" s="73"/>
      <c r="I48" s="73"/>
      <c r="J48" s="79"/>
      <c r="K48" s="79"/>
      <c r="L48" s="79"/>
      <c r="M48" s="79"/>
      <c r="N48" s="75"/>
      <c r="O48" s="73"/>
      <c r="P48" s="73"/>
      <c r="Q48" s="73"/>
    </row>
    <row r="49" spans="1:18" s="74" customFormat="1" x14ac:dyDescent="0.2">
      <c r="A49" s="96"/>
      <c r="B49" s="80"/>
      <c r="C49" s="244"/>
      <c r="D49" s="244"/>
      <c r="E49" s="73"/>
      <c r="F49" s="73"/>
      <c r="G49" s="73"/>
      <c r="H49" s="73"/>
      <c r="I49" s="73"/>
      <c r="J49" s="81"/>
      <c r="K49" s="73"/>
      <c r="L49" s="244"/>
      <c r="M49" s="244"/>
      <c r="N49" s="75"/>
      <c r="O49" s="73"/>
      <c r="P49" s="73"/>
      <c r="Q49" s="73"/>
    </row>
    <row r="50" spans="1:18" s="74" customFormat="1" x14ac:dyDescent="0.2">
      <c r="A50" s="96"/>
      <c r="B50" s="73"/>
      <c r="C50" s="244"/>
      <c r="D50" s="244"/>
      <c r="E50" s="73"/>
      <c r="F50" s="73"/>
      <c r="G50" s="73"/>
      <c r="H50" s="73"/>
      <c r="I50" s="73"/>
      <c r="J50" s="81"/>
      <c r="K50" s="73"/>
      <c r="L50" s="244"/>
      <c r="M50" s="244"/>
      <c r="N50" s="75"/>
      <c r="O50" s="73"/>
      <c r="P50" s="73"/>
      <c r="Q50" s="73"/>
    </row>
    <row r="51" spans="1:18" s="74" customFormat="1" x14ac:dyDescent="0.2">
      <c r="A51" s="96"/>
      <c r="B51" s="73"/>
      <c r="C51" s="248"/>
      <c r="D51" s="248"/>
      <c r="E51" s="73"/>
      <c r="F51" s="73"/>
      <c r="G51" s="73"/>
      <c r="H51" s="73"/>
      <c r="I51" s="73"/>
      <c r="J51" s="82"/>
      <c r="K51" s="76"/>
      <c r="L51" s="249"/>
      <c r="M51" s="249"/>
      <c r="N51" s="75"/>
      <c r="O51" s="73"/>
      <c r="P51" s="73"/>
      <c r="Q51" s="73"/>
    </row>
    <row r="52" spans="1:18" s="74" customFormat="1" x14ac:dyDescent="0.2">
      <c r="A52" s="96"/>
      <c r="B52" s="73"/>
      <c r="C52" s="73"/>
      <c r="D52" s="73"/>
      <c r="E52" s="73"/>
      <c r="F52" s="73"/>
      <c r="G52" s="73"/>
      <c r="H52" s="73"/>
      <c r="I52" s="73"/>
      <c r="J52" s="83"/>
      <c r="K52" s="75"/>
      <c r="L52" s="247"/>
      <c r="M52" s="247"/>
      <c r="N52" s="75"/>
      <c r="O52" s="73"/>
      <c r="P52" s="73"/>
      <c r="Q52" s="73"/>
    </row>
    <row r="53" spans="1:18" s="74" customFormat="1" x14ac:dyDescent="0.2">
      <c r="A53" s="96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5"/>
      <c r="O53" s="73"/>
      <c r="P53" s="73"/>
      <c r="Q53" s="73"/>
    </row>
    <row r="54" spans="1:18" s="74" customFormat="1" x14ac:dyDescent="0.2">
      <c r="A54" s="96"/>
      <c r="B54" s="73"/>
      <c r="C54" s="73"/>
      <c r="D54" s="73"/>
      <c r="E54" s="73"/>
      <c r="F54" s="73"/>
      <c r="G54" s="73"/>
      <c r="H54" s="73"/>
      <c r="I54" s="73"/>
      <c r="J54" s="73"/>
      <c r="K54" s="75"/>
      <c r="M54" s="73"/>
      <c r="N54" s="75"/>
      <c r="O54" s="73"/>
      <c r="P54" s="73"/>
      <c r="Q54" s="73"/>
    </row>
    <row r="55" spans="1:18" s="74" customFormat="1" x14ac:dyDescent="0.2">
      <c r="A55" s="96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5"/>
      <c r="O55" s="73"/>
      <c r="P55" s="73"/>
      <c r="Q55" s="73"/>
    </row>
    <row r="56" spans="1:18" s="74" customFormat="1" x14ac:dyDescent="0.2">
      <c r="A56" s="96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5"/>
      <c r="O56" s="73"/>
      <c r="P56" s="73"/>
      <c r="Q56" s="73"/>
    </row>
    <row r="57" spans="1:18" s="74" customFormat="1" x14ac:dyDescent="0.2">
      <c r="A57" s="96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5"/>
      <c r="O57" s="73"/>
      <c r="P57" s="73"/>
      <c r="Q57" s="73"/>
    </row>
    <row r="58" spans="1:18" s="74" customFormat="1" x14ac:dyDescent="0.2">
      <c r="A58" s="96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5"/>
      <c r="O58" s="73"/>
      <c r="P58" s="73"/>
      <c r="Q58" s="73"/>
      <c r="R58" s="73"/>
    </row>
    <row r="59" spans="1:18" s="74" customFormat="1" x14ac:dyDescent="0.2">
      <c r="A59" s="96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5"/>
      <c r="O59" s="73"/>
      <c r="P59" s="73"/>
      <c r="Q59" s="73"/>
      <c r="R59" s="73"/>
    </row>
    <row r="60" spans="1:18" s="74" customFormat="1" x14ac:dyDescent="0.2">
      <c r="A60" s="96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5"/>
      <c r="O60" s="73"/>
      <c r="P60" s="73"/>
      <c r="Q60" s="73"/>
      <c r="R60" s="73"/>
    </row>
    <row r="61" spans="1:18" s="74" customFormat="1" x14ac:dyDescent="0.2">
      <c r="A61" s="96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5"/>
      <c r="O61" s="73"/>
      <c r="P61" s="73"/>
      <c r="Q61" s="73"/>
      <c r="R61" s="73"/>
    </row>
    <row r="62" spans="1:18" s="74" customFormat="1" x14ac:dyDescent="0.2">
      <c r="A62" s="96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5"/>
      <c r="O62" s="73"/>
      <c r="P62" s="73"/>
      <c r="Q62" s="73"/>
      <c r="R62" s="73"/>
    </row>
    <row r="63" spans="1:18" s="74" customFormat="1" x14ac:dyDescent="0.2">
      <c r="A63" s="96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5"/>
      <c r="O63" s="73"/>
      <c r="P63" s="73"/>
      <c r="Q63" s="73"/>
      <c r="R63" s="73"/>
    </row>
    <row r="64" spans="1:18" s="74" customFormat="1" x14ac:dyDescent="0.2">
      <c r="A64" s="96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5"/>
      <c r="O64" s="73"/>
      <c r="P64" s="73"/>
      <c r="Q64" s="73"/>
      <c r="R64" s="73"/>
    </row>
    <row r="65" spans="1:18" s="74" customFormat="1" x14ac:dyDescent="0.2">
      <c r="A65" s="96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5"/>
      <c r="O65" s="73"/>
      <c r="P65" s="73"/>
      <c r="Q65" s="73"/>
      <c r="R65" s="73"/>
    </row>
    <row r="66" spans="1:18" s="74" customFormat="1" x14ac:dyDescent="0.2">
      <c r="A66" s="96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5"/>
      <c r="O66" s="73"/>
      <c r="P66" s="73"/>
      <c r="Q66" s="73"/>
      <c r="R66" s="73"/>
    </row>
    <row r="67" spans="1:18" s="74" customFormat="1" x14ac:dyDescent="0.2">
      <c r="A67" s="96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5"/>
      <c r="O67" s="73"/>
      <c r="P67" s="73"/>
      <c r="Q67" s="73"/>
      <c r="R67" s="73"/>
    </row>
    <row r="68" spans="1:18" s="74" customFormat="1" x14ac:dyDescent="0.2">
      <c r="A68" s="96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5"/>
      <c r="O68" s="73"/>
      <c r="P68" s="73"/>
      <c r="Q68" s="73"/>
      <c r="R68" s="73"/>
    </row>
    <row r="69" spans="1:18" s="74" customFormat="1" x14ac:dyDescent="0.2">
      <c r="A69" s="96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5"/>
      <c r="O69" s="73"/>
      <c r="P69" s="73"/>
      <c r="Q69" s="73"/>
      <c r="R69" s="73"/>
    </row>
    <row r="70" spans="1:18" s="74" customFormat="1" x14ac:dyDescent="0.2">
      <c r="A70" s="96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5"/>
      <c r="O70" s="73"/>
      <c r="P70" s="73"/>
      <c r="Q70" s="73"/>
      <c r="R70" s="73"/>
    </row>
    <row r="71" spans="1:18" s="74" customFormat="1" x14ac:dyDescent="0.2">
      <c r="A71" s="96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5"/>
      <c r="O71" s="73"/>
      <c r="P71" s="73"/>
      <c r="Q71" s="73"/>
      <c r="R71" s="73"/>
    </row>
    <row r="72" spans="1:18" s="74" customFormat="1" x14ac:dyDescent="0.2">
      <c r="A72" s="96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5"/>
      <c r="O72" s="73"/>
      <c r="P72" s="73"/>
      <c r="Q72" s="73"/>
      <c r="R72" s="73"/>
    </row>
    <row r="73" spans="1:18" s="74" customFormat="1" x14ac:dyDescent="0.2">
      <c r="A73" s="96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5"/>
      <c r="O73" s="73"/>
      <c r="P73" s="73"/>
      <c r="Q73" s="73"/>
      <c r="R73" s="73"/>
    </row>
    <row r="74" spans="1:18" s="74" customFormat="1" x14ac:dyDescent="0.2">
      <c r="A74" s="96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5"/>
      <c r="O74" s="73"/>
      <c r="P74" s="73"/>
      <c r="Q74" s="73"/>
      <c r="R74" s="73"/>
    </row>
    <row r="75" spans="1:18" s="74" customFormat="1" x14ac:dyDescent="0.2">
      <c r="A75" s="96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5"/>
      <c r="O75" s="73"/>
      <c r="P75" s="73"/>
      <c r="Q75" s="73"/>
      <c r="R75" s="73"/>
    </row>
    <row r="76" spans="1:18" s="74" customFormat="1" x14ac:dyDescent="0.2">
      <c r="A76" s="96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5"/>
      <c r="O76" s="73"/>
      <c r="P76" s="73"/>
      <c r="Q76" s="73"/>
      <c r="R76" s="73"/>
    </row>
    <row r="77" spans="1:18" s="74" customFormat="1" x14ac:dyDescent="0.2">
      <c r="A77" s="96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5"/>
      <c r="O77" s="73"/>
      <c r="P77" s="73"/>
      <c r="Q77" s="73"/>
      <c r="R77" s="73"/>
    </row>
    <row r="78" spans="1:18" s="74" customFormat="1" x14ac:dyDescent="0.2">
      <c r="A78" s="96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5"/>
      <c r="O78" s="73"/>
      <c r="P78" s="73"/>
      <c r="Q78" s="73"/>
      <c r="R78" s="73"/>
    </row>
    <row r="79" spans="1:18" s="74" customFormat="1" x14ac:dyDescent="0.2">
      <c r="A79" s="96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5"/>
      <c r="O79" s="73"/>
      <c r="P79" s="73"/>
      <c r="Q79" s="73"/>
      <c r="R79" s="73"/>
    </row>
    <row r="80" spans="1:18" s="74" customFormat="1" x14ac:dyDescent="0.2">
      <c r="A80" s="96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5"/>
      <c r="O80" s="73"/>
      <c r="P80" s="73"/>
      <c r="Q80" s="73"/>
      <c r="R80" s="73"/>
    </row>
    <row r="81" spans="1:18" s="74" customFormat="1" x14ac:dyDescent="0.2">
      <c r="A81" s="96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5"/>
      <c r="O81" s="73"/>
      <c r="P81" s="73"/>
      <c r="Q81" s="73"/>
      <c r="R81" s="73"/>
    </row>
    <row r="82" spans="1:18" s="74" customFormat="1" x14ac:dyDescent="0.2">
      <c r="A82" s="96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5"/>
      <c r="O82" s="73"/>
      <c r="P82" s="73"/>
      <c r="Q82" s="73"/>
      <c r="R82" s="73"/>
    </row>
    <row r="83" spans="1:18" s="74" customFormat="1" x14ac:dyDescent="0.2">
      <c r="A83" s="96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5"/>
      <c r="O83" s="73"/>
      <c r="P83" s="73"/>
      <c r="Q83" s="73"/>
      <c r="R83" s="73"/>
    </row>
    <row r="84" spans="1:18" s="74" customFormat="1" x14ac:dyDescent="0.2">
      <c r="A84" s="96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5"/>
      <c r="O84" s="73"/>
      <c r="P84" s="73"/>
      <c r="Q84" s="73"/>
      <c r="R84" s="73"/>
    </row>
    <row r="85" spans="1:18" s="74" customFormat="1" x14ac:dyDescent="0.2">
      <c r="A85" s="96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5"/>
      <c r="O85" s="73"/>
      <c r="P85" s="73"/>
      <c r="Q85" s="73"/>
      <c r="R85" s="73"/>
    </row>
    <row r="86" spans="1:18" s="74" customFormat="1" x14ac:dyDescent="0.2">
      <c r="A86" s="96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5"/>
      <c r="O86" s="73"/>
      <c r="P86" s="73"/>
      <c r="Q86" s="73"/>
      <c r="R86" s="73"/>
    </row>
    <row r="87" spans="1:18" s="74" customFormat="1" x14ac:dyDescent="0.2">
      <c r="A87" s="96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5"/>
      <c r="O87" s="73"/>
      <c r="P87" s="73"/>
      <c r="Q87" s="73"/>
      <c r="R87" s="73"/>
    </row>
    <row r="88" spans="1:18" s="74" customFormat="1" x14ac:dyDescent="0.2">
      <c r="A88" s="96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5"/>
      <c r="O88" s="73"/>
      <c r="P88" s="73"/>
      <c r="Q88" s="73"/>
      <c r="R88" s="73"/>
    </row>
    <row r="89" spans="1:18" s="74" customFormat="1" x14ac:dyDescent="0.2">
      <c r="A89" s="96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5"/>
      <c r="O89" s="73"/>
      <c r="P89" s="73"/>
      <c r="Q89" s="73"/>
      <c r="R89" s="73"/>
    </row>
    <row r="90" spans="1:18" s="74" customFormat="1" x14ac:dyDescent="0.2">
      <c r="A90" s="96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5"/>
      <c r="O90" s="73"/>
      <c r="P90" s="73"/>
      <c r="Q90" s="73"/>
      <c r="R90" s="73"/>
    </row>
    <row r="91" spans="1:18" s="74" customFormat="1" x14ac:dyDescent="0.2">
      <c r="A91" s="96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5"/>
      <c r="O91" s="73"/>
      <c r="P91" s="73"/>
      <c r="Q91" s="73"/>
      <c r="R91" s="73"/>
    </row>
    <row r="92" spans="1:18" s="74" customFormat="1" x14ac:dyDescent="0.2">
      <c r="A92" s="96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5"/>
      <c r="O92" s="73"/>
      <c r="P92" s="73"/>
      <c r="Q92" s="73"/>
      <c r="R92" s="73"/>
    </row>
    <row r="93" spans="1:18" s="74" customFormat="1" x14ac:dyDescent="0.2">
      <c r="A93" s="96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5"/>
      <c r="O93" s="73"/>
      <c r="P93" s="73"/>
      <c r="Q93" s="73"/>
      <c r="R93" s="73"/>
    </row>
    <row r="94" spans="1:18" s="74" customFormat="1" x14ac:dyDescent="0.2">
      <c r="A94" s="96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5"/>
      <c r="O94" s="73"/>
      <c r="P94" s="73"/>
      <c r="Q94" s="73"/>
      <c r="R94" s="73"/>
    </row>
    <row r="95" spans="1:18" s="74" customFormat="1" x14ac:dyDescent="0.2">
      <c r="A95" s="96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5"/>
      <c r="O95" s="73"/>
      <c r="P95" s="73"/>
      <c r="Q95" s="73"/>
      <c r="R95" s="73"/>
    </row>
    <row r="96" spans="1:18" s="74" customFormat="1" x14ac:dyDescent="0.2">
      <c r="A96" s="96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5"/>
      <c r="O96" s="73"/>
      <c r="P96" s="73"/>
      <c r="Q96" s="73"/>
      <c r="R96" s="73"/>
    </row>
    <row r="97" spans="1:18" s="74" customFormat="1" x14ac:dyDescent="0.2">
      <c r="A97" s="96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5"/>
      <c r="O97" s="73"/>
      <c r="P97" s="73"/>
      <c r="Q97" s="73"/>
      <c r="R97" s="73"/>
    </row>
    <row r="98" spans="1:18" s="74" customFormat="1" x14ac:dyDescent="0.2">
      <c r="A98" s="96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5"/>
      <c r="O98" s="73"/>
      <c r="P98" s="73"/>
      <c r="Q98" s="73"/>
      <c r="R98" s="73"/>
    </row>
    <row r="99" spans="1:18" s="74" customFormat="1" x14ac:dyDescent="0.2">
      <c r="A99" s="96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5"/>
      <c r="O99" s="73"/>
      <c r="P99" s="73"/>
      <c r="Q99" s="73"/>
      <c r="R99" s="73"/>
    </row>
    <row r="100" spans="1:18" s="74" customFormat="1" x14ac:dyDescent="0.2">
      <c r="A100" s="96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5"/>
      <c r="O100" s="73"/>
      <c r="P100" s="73"/>
      <c r="Q100" s="73"/>
      <c r="R100" s="73"/>
    </row>
    <row r="101" spans="1:18" s="74" customFormat="1" x14ac:dyDescent="0.2">
      <c r="A101" s="96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5"/>
      <c r="O101" s="73"/>
      <c r="P101" s="73"/>
      <c r="Q101" s="73"/>
      <c r="R101" s="73"/>
    </row>
    <row r="102" spans="1:18" s="74" customFormat="1" x14ac:dyDescent="0.2">
      <c r="A102" s="96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5"/>
      <c r="O102" s="73"/>
      <c r="P102" s="73"/>
      <c r="Q102" s="73"/>
      <c r="R102" s="73"/>
    </row>
    <row r="103" spans="1:18" s="74" customFormat="1" x14ac:dyDescent="0.2">
      <c r="A103" s="96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5"/>
      <c r="O103" s="73"/>
      <c r="P103" s="73"/>
      <c r="Q103" s="73"/>
      <c r="R103" s="73"/>
    </row>
    <row r="104" spans="1:18" s="74" customFormat="1" x14ac:dyDescent="0.2">
      <c r="A104" s="96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5"/>
      <c r="O104" s="73"/>
      <c r="P104" s="73"/>
      <c r="Q104" s="73"/>
      <c r="R104" s="73"/>
    </row>
    <row r="105" spans="1:18" s="74" customFormat="1" x14ac:dyDescent="0.2">
      <c r="A105" s="96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5"/>
      <c r="O105" s="73"/>
      <c r="P105" s="73"/>
      <c r="Q105" s="73"/>
      <c r="R105" s="73"/>
    </row>
    <row r="106" spans="1:18" s="74" customFormat="1" x14ac:dyDescent="0.2">
      <c r="A106" s="96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5"/>
      <c r="O106" s="73"/>
      <c r="P106" s="73"/>
      <c r="Q106" s="73"/>
      <c r="R106" s="73"/>
    </row>
    <row r="107" spans="1:18" s="74" customFormat="1" x14ac:dyDescent="0.2">
      <c r="A107" s="96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5"/>
      <c r="O107" s="73"/>
      <c r="P107" s="73"/>
      <c r="Q107" s="73"/>
      <c r="R107" s="73"/>
    </row>
    <row r="108" spans="1:18" s="74" customFormat="1" x14ac:dyDescent="0.2">
      <c r="A108" s="96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5"/>
      <c r="O108" s="73"/>
      <c r="P108" s="73"/>
      <c r="Q108" s="73"/>
      <c r="R108" s="73"/>
    </row>
    <row r="109" spans="1:18" s="74" customFormat="1" x14ac:dyDescent="0.2">
      <c r="A109" s="96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5"/>
      <c r="O109" s="73"/>
      <c r="P109" s="73"/>
      <c r="Q109" s="73"/>
      <c r="R109" s="73"/>
    </row>
    <row r="110" spans="1:18" s="74" customFormat="1" x14ac:dyDescent="0.2">
      <c r="A110" s="96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5"/>
      <c r="O110" s="73"/>
      <c r="P110" s="73"/>
      <c r="Q110" s="73"/>
      <c r="R110" s="73"/>
    </row>
    <row r="111" spans="1:18" s="74" customFormat="1" x14ac:dyDescent="0.2">
      <c r="A111" s="96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5"/>
      <c r="O111" s="73"/>
      <c r="P111" s="73"/>
      <c r="Q111" s="73"/>
      <c r="R111" s="73"/>
    </row>
    <row r="112" spans="1:18" s="74" customFormat="1" x14ac:dyDescent="0.2">
      <c r="A112" s="96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5"/>
      <c r="O112" s="73"/>
      <c r="P112" s="73"/>
      <c r="Q112" s="73"/>
      <c r="R112" s="73"/>
    </row>
    <row r="113" spans="1:18" s="74" customFormat="1" x14ac:dyDescent="0.2">
      <c r="A113" s="96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5"/>
      <c r="O113" s="73"/>
      <c r="P113" s="73"/>
      <c r="Q113" s="73"/>
      <c r="R113" s="73"/>
    </row>
    <row r="114" spans="1:18" s="74" customFormat="1" x14ac:dyDescent="0.2">
      <c r="A114" s="96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5"/>
      <c r="O114" s="73"/>
      <c r="P114" s="73"/>
      <c r="Q114" s="73"/>
      <c r="R114" s="73"/>
    </row>
    <row r="115" spans="1:18" s="74" customFormat="1" x14ac:dyDescent="0.2">
      <c r="A115" s="96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5"/>
      <c r="O115" s="73"/>
      <c r="P115" s="73"/>
      <c r="Q115" s="73"/>
      <c r="R115" s="73"/>
    </row>
    <row r="116" spans="1:18" s="74" customFormat="1" x14ac:dyDescent="0.2">
      <c r="A116" s="96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5"/>
      <c r="O116" s="73"/>
      <c r="P116" s="73"/>
      <c r="Q116" s="73"/>
      <c r="R116" s="73"/>
    </row>
    <row r="117" spans="1:18" s="74" customFormat="1" x14ac:dyDescent="0.2">
      <c r="A117" s="96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5"/>
      <c r="O117" s="73"/>
      <c r="P117" s="73"/>
      <c r="Q117" s="73"/>
      <c r="R117" s="73"/>
    </row>
    <row r="118" spans="1:18" s="74" customFormat="1" x14ac:dyDescent="0.2">
      <c r="A118" s="96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5"/>
      <c r="O118" s="73"/>
      <c r="P118" s="73"/>
      <c r="Q118" s="73"/>
      <c r="R118" s="73"/>
    </row>
    <row r="119" spans="1:18" s="74" customFormat="1" x14ac:dyDescent="0.2">
      <c r="A119" s="96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5"/>
      <c r="O119" s="73"/>
      <c r="P119" s="73"/>
      <c r="Q119" s="73"/>
      <c r="R119" s="73"/>
    </row>
    <row r="120" spans="1:18" s="74" customFormat="1" x14ac:dyDescent="0.2">
      <c r="A120" s="96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5"/>
      <c r="O120" s="73"/>
      <c r="P120" s="73"/>
      <c r="Q120" s="73"/>
      <c r="R120" s="73"/>
    </row>
    <row r="121" spans="1:18" s="74" customFormat="1" x14ac:dyDescent="0.2">
      <c r="A121" s="96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5"/>
      <c r="O121" s="73"/>
      <c r="P121" s="73"/>
      <c r="Q121" s="73"/>
      <c r="R121" s="73"/>
    </row>
    <row r="122" spans="1:18" s="74" customFormat="1" x14ac:dyDescent="0.2">
      <c r="A122" s="96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5"/>
      <c r="O122" s="73"/>
      <c r="P122" s="73"/>
      <c r="Q122" s="73"/>
      <c r="R122" s="73"/>
    </row>
    <row r="123" spans="1:18" s="74" customFormat="1" x14ac:dyDescent="0.2">
      <c r="A123" s="96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5"/>
      <c r="O123" s="73"/>
      <c r="P123" s="73"/>
      <c r="Q123" s="73"/>
      <c r="R123" s="73"/>
    </row>
    <row r="124" spans="1:18" s="74" customFormat="1" x14ac:dyDescent="0.2">
      <c r="A124" s="96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5"/>
      <c r="O124" s="73"/>
      <c r="P124" s="73"/>
      <c r="Q124" s="73"/>
      <c r="R124" s="73"/>
    </row>
    <row r="125" spans="1:18" s="74" customFormat="1" x14ac:dyDescent="0.2">
      <c r="A125" s="96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5"/>
      <c r="O125" s="73"/>
      <c r="P125" s="73"/>
      <c r="Q125" s="73"/>
      <c r="R125" s="73"/>
    </row>
    <row r="126" spans="1:18" s="74" customFormat="1" x14ac:dyDescent="0.2">
      <c r="A126" s="96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5"/>
      <c r="O126" s="73"/>
      <c r="P126" s="73"/>
      <c r="Q126" s="73"/>
      <c r="R126" s="73"/>
    </row>
    <row r="127" spans="1:18" s="74" customFormat="1" x14ac:dyDescent="0.2">
      <c r="A127" s="96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5"/>
      <c r="O127" s="73"/>
      <c r="P127" s="73"/>
      <c r="Q127" s="73"/>
      <c r="R127" s="73"/>
    </row>
    <row r="128" spans="1:18" s="74" customFormat="1" x14ac:dyDescent="0.2">
      <c r="A128" s="96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5"/>
      <c r="O128" s="73"/>
      <c r="P128" s="73"/>
      <c r="Q128" s="73"/>
      <c r="R128" s="73"/>
    </row>
    <row r="129" spans="1:18" s="74" customFormat="1" x14ac:dyDescent="0.2">
      <c r="A129" s="96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5"/>
      <c r="O129" s="73"/>
      <c r="P129" s="73"/>
      <c r="Q129" s="73"/>
      <c r="R129" s="73"/>
    </row>
    <row r="130" spans="1:18" s="74" customFormat="1" x14ac:dyDescent="0.2">
      <c r="A130" s="96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5"/>
      <c r="O130" s="73"/>
      <c r="P130" s="73"/>
      <c r="Q130" s="73"/>
      <c r="R130" s="73"/>
    </row>
    <row r="131" spans="1:18" s="74" customFormat="1" x14ac:dyDescent="0.2">
      <c r="A131" s="96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5"/>
      <c r="O131" s="73"/>
      <c r="P131" s="73"/>
      <c r="Q131" s="73"/>
      <c r="R131" s="73"/>
    </row>
    <row r="132" spans="1:18" s="74" customFormat="1" x14ac:dyDescent="0.2">
      <c r="A132" s="96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5"/>
      <c r="O132" s="73"/>
      <c r="P132" s="73"/>
      <c r="Q132" s="73"/>
      <c r="R132" s="73"/>
    </row>
    <row r="133" spans="1:18" s="74" customFormat="1" x14ac:dyDescent="0.2">
      <c r="A133" s="96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5"/>
      <c r="O133" s="73"/>
      <c r="P133" s="73"/>
      <c r="Q133" s="73"/>
      <c r="R133" s="73"/>
    </row>
    <row r="134" spans="1:18" s="74" customFormat="1" x14ac:dyDescent="0.2">
      <c r="A134" s="96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5"/>
      <c r="O134" s="73"/>
      <c r="P134" s="73"/>
      <c r="Q134" s="73"/>
      <c r="R134" s="73"/>
    </row>
    <row r="135" spans="1:18" s="74" customFormat="1" x14ac:dyDescent="0.2">
      <c r="A135" s="96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5"/>
      <c r="O135" s="73"/>
      <c r="P135" s="73"/>
      <c r="Q135" s="73"/>
      <c r="R135" s="73"/>
    </row>
    <row r="136" spans="1:18" s="74" customFormat="1" x14ac:dyDescent="0.2">
      <c r="A136" s="96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5"/>
      <c r="O136" s="73"/>
      <c r="P136" s="73"/>
      <c r="Q136" s="73"/>
      <c r="R136" s="73"/>
    </row>
    <row r="137" spans="1:18" s="74" customFormat="1" x14ac:dyDescent="0.2">
      <c r="A137" s="96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5"/>
      <c r="O137" s="73"/>
      <c r="P137" s="73"/>
      <c r="Q137" s="73"/>
      <c r="R137" s="73"/>
    </row>
    <row r="138" spans="1:18" s="74" customFormat="1" x14ac:dyDescent="0.2">
      <c r="A138" s="96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5"/>
      <c r="O138" s="73"/>
      <c r="P138" s="73"/>
      <c r="Q138" s="73"/>
      <c r="R138" s="73"/>
    </row>
    <row r="139" spans="1:18" s="74" customFormat="1" x14ac:dyDescent="0.2">
      <c r="A139" s="96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5"/>
      <c r="O139" s="73"/>
      <c r="P139" s="73"/>
      <c r="Q139" s="73"/>
      <c r="R139" s="73"/>
    </row>
    <row r="140" spans="1:18" s="74" customFormat="1" x14ac:dyDescent="0.2">
      <c r="A140" s="96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5"/>
      <c r="O140" s="73"/>
      <c r="P140" s="73"/>
      <c r="Q140" s="73"/>
      <c r="R140" s="73"/>
    </row>
    <row r="141" spans="1:18" s="74" customFormat="1" x14ac:dyDescent="0.2">
      <c r="A141" s="96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5"/>
      <c r="O141" s="73"/>
      <c r="P141" s="73"/>
      <c r="Q141" s="73"/>
      <c r="R141" s="73"/>
    </row>
    <row r="142" spans="1:18" s="74" customFormat="1" x14ac:dyDescent="0.2">
      <c r="A142" s="96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5"/>
      <c r="O142" s="73"/>
      <c r="P142" s="73"/>
      <c r="Q142" s="73"/>
      <c r="R142" s="73"/>
    </row>
    <row r="143" spans="1:18" s="74" customFormat="1" x14ac:dyDescent="0.2">
      <c r="A143" s="96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5"/>
      <c r="O143" s="73"/>
      <c r="P143" s="73"/>
      <c r="Q143" s="73"/>
      <c r="R143" s="73"/>
    </row>
    <row r="144" spans="1:18" s="74" customFormat="1" x14ac:dyDescent="0.2">
      <c r="A144" s="96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5"/>
      <c r="O144" s="73"/>
      <c r="P144" s="73"/>
      <c r="Q144" s="73"/>
      <c r="R144" s="73"/>
    </row>
    <row r="145" spans="1:18" s="74" customFormat="1" x14ac:dyDescent="0.2">
      <c r="A145" s="96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5"/>
      <c r="O145" s="73"/>
      <c r="P145" s="73"/>
      <c r="Q145" s="73"/>
      <c r="R145" s="73"/>
    </row>
    <row r="146" spans="1:18" s="74" customFormat="1" x14ac:dyDescent="0.2">
      <c r="A146" s="96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5"/>
      <c r="O146" s="73"/>
      <c r="P146" s="73"/>
      <c r="Q146" s="73"/>
      <c r="R146" s="73"/>
    </row>
    <row r="147" spans="1:18" s="74" customFormat="1" x14ac:dyDescent="0.2">
      <c r="A147" s="96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5"/>
      <c r="O147" s="73"/>
      <c r="P147" s="73"/>
      <c r="Q147" s="73"/>
      <c r="R147" s="73"/>
    </row>
    <row r="148" spans="1:18" s="74" customFormat="1" x14ac:dyDescent="0.2">
      <c r="A148" s="96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5"/>
      <c r="O148" s="73"/>
      <c r="P148" s="73"/>
      <c r="Q148" s="73"/>
      <c r="R148" s="73"/>
    </row>
    <row r="149" spans="1:18" s="74" customFormat="1" x14ac:dyDescent="0.2">
      <c r="A149" s="96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5"/>
      <c r="O149" s="73"/>
      <c r="P149" s="73"/>
      <c r="Q149" s="73"/>
      <c r="R149" s="73"/>
    </row>
    <row r="150" spans="1:18" s="74" customFormat="1" x14ac:dyDescent="0.2">
      <c r="A150" s="96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5"/>
      <c r="O150" s="73"/>
      <c r="P150" s="73"/>
      <c r="Q150" s="73"/>
      <c r="R150" s="73"/>
    </row>
    <row r="151" spans="1:18" s="74" customFormat="1" x14ac:dyDescent="0.2">
      <c r="A151" s="96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5"/>
      <c r="O151" s="73"/>
      <c r="P151" s="73"/>
      <c r="Q151" s="73"/>
      <c r="R151" s="73"/>
    </row>
    <row r="152" spans="1:18" s="74" customFormat="1" x14ac:dyDescent="0.2">
      <c r="A152" s="96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5"/>
      <c r="O152" s="73"/>
      <c r="P152" s="73"/>
      <c r="Q152" s="73"/>
      <c r="R152" s="73"/>
    </row>
    <row r="153" spans="1:18" s="74" customFormat="1" x14ac:dyDescent="0.2">
      <c r="A153" s="96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5"/>
      <c r="O153" s="73"/>
      <c r="P153" s="73"/>
      <c r="Q153" s="73"/>
      <c r="R153" s="73"/>
    </row>
    <row r="154" spans="1:18" x14ac:dyDescent="0.2">
      <c r="A154" s="96"/>
      <c r="B154" s="45"/>
      <c r="C154" s="45"/>
      <c r="D154" s="45"/>
      <c r="E154" s="45"/>
      <c r="F154" s="45"/>
      <c r="G154" s="45"/>
      <c r="H154" s="45"/>
      <c r="I154" s="45"/>
      <c r="J154" s="73"/>
      <c r="K154" s="73"/>
      <c r="L154" s="73"/>
      <c r="M154" s="73"/>
      <c r="N154" s="59"/>
      <c r="O154" s="45"/>
      <c r="P154" s="45"/>
      <c r="Q154" s="45"/>
      <c r="R154" s="45"/>
    </row>
    <row r="155" spans="1:18" x14ac:dyDescent="0.2"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59"/>
      <c r="O155" s="45"/>
      <c r="P155" s="45"/>
      <c r="Q155" s="45"/>
      <c r="R155" s="45"/>
    </row>
    <row r="156" spans="1:18" x14ac:dyDescent="0.2"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59"/>
      <c r="O156" s="45"/>
      <c r="P156" s="45"/>
      <c r="Q156" s="45"/>
      <c r="R156" s="45"/>
    </row>
    <row r="157" spans="1:18" x14ac:dyDescent="0.2"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59"/>
      <c r="O157" s="45"/>
      <c r="P157" s="45"/>
      <c r="Q157" s="45"/>
      <c r="R157" s="45"/>
    </row>
    <row r="158" spans="1:18" x14ac:dyDescent="0.2"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59"/>
      <c r="O158" s="45"/>
      <c r="P158" s="45"/>
      <c r="Q158" s="45"/>
      <c r="R158" s="45"/>
    </row>
    <row r="159" spans="1:18" x14ac:dyDescent="0.2"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59"/>
      <c r="O159" s="45"/>
      <c r="P159" s="45"/>
      <c r="Q159" s="45"/>
      <c r="R159" s="45"/>
    </row>
    <row r="160" spans="1:18" x14ac:dyDescent="0.2"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59"/>
      <c r="O160" s="45"/>
      <c r="P160" s="45"/>
      <c r="Q160" s="45"/>
      <c r="R160" s="45"/>
    </row>
    <row r="161" spans="2:18" x14ac:dyDescent="0.2"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59"/>
      <c r="O161" s="45"/>
      <c r="P161" s="45"/>
      <c r="Q161" s="45"/>
      <c r="R161" s="45"/>
    </row>
    <row r="162" spans="2:18" x14ac:dyDescent="0.2"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59"/>
      <c r="O162" s="45"/>
      <c r="P162" s="45"/>
      <c r="Q162" s="45"/>
      <c r="R162" s="45"/>
    </row>
    <row r="163" spans="2:18" x14ac:dyDescent="0.2"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59"/>
      <c r="O163" s="45"/>
      <c r="P163" s="45"/>
      <c r="Q163" s="45"/>
      <c r="R163" s="45"/>
    </row>
    <row r="164" spans="2:18" x14ac:dyDescent="0.2"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59"/>
      <c r="O164" s="45"/>
      <c r="P164" s="45"/>
      <c r="Q164" s="45"/>
      <c r="R164" s="45"/>
    </row>
    <row r="165" spans="2:18" x14ac:dyDescent="0.2"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59"/>
      <c r="O165" s="45"/>
      <c r="P165" s="45"/>
      <c r="Q165" s="45"/>
      <c r="R165" s="45"/>
    </row>
    <row r="166" spans="2:18" x14ac:dyDescent="0.2"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59"/>
      <c r="O166" s="45"/>
      <c r="P166" s="45"/>
      <c r="Q166" s="45"/>
      <c r="R166" s="45"/>
    </row>
    <row r="167" spans="2:18" x14ac:dyDescent="0.2"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59"/>
      <c r="O167" s="45"/>
      <c r="P167" s="45"/>
      <c r="Q167" s="45"/>
      <c r="R167" s="45"/>
    </row>
    <row r="168" spans="2:18" x14ac:dyDescent="0.2"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59"/>
      <c r="O168" s="45"/>
      <c r="P168" s="45"/>
      <c r="Q168" s="45"/>
      <c r="R168" s="45"/>
    </row>
    <row r="169" spans="2:18" x14ac:dyDescent="0.2"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59"/>
      <c r="O169" s="45"/>
      <c r="P169" s="45"/>
      <c r="Q169" s="45"/>
      <c r="R169" s="45"/>
    </row>
    <row r="170" spans="2:18" x14ac:dyDescent="0.2"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59"/>
      <c r="O170" s="45"/>
      <c r="P170" s="45"/>
      <c r="Q170" s="45"/>
      <c r="R170" s="45"/>
    </row>
    <row r="171" spans="2:18" x14ac:dyDescent="0.2"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59"/>
      <c r="O171" s="45"/>
      <c r="P171" s="45"/>
      <c r="Q171" s="45"/>
      <c r="R171" s="45"/>
    </row>
    <row r="172" spans="2:18" x14ac:dyDescent="0.2"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59"/>
      <c r="O172" s="45"/>
      <c r="P172" s="45"/>
      <c r="Q172" s="45"/>
      <c r="R172" s="45"/>
    </row>
    <row r="173" spans="2:18" x14ac:dyDescent="0.2"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59"/>
      <c r="O173" s="45"/>
      <c r="P173" s="45"/>
      <c r="Q173" s="45"/>
      <c r="R173" s="45"/>
    </row>
    <row r="174" spans="2:18" x14ac:dyDescent="0.2"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59"/>
      <c r="O174" s="45"/>
      <c r="P174" s="45"/>
      <c r="Q174" s="45"/>
      <c r="R174" s="45"/>
    </row>
    <row r="175" spans="2:18" x14ac:dyDescent="0.2"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59"/>
      <c r="O175" s="45"/>
      <c r="P175" s="45"/>
      <c r="Q175" s="45"/>
      <c r="R175" s="45"/>
    </row>
    <row r="176" spans="2:18" x14ac:dyDescent="0.2"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59"/>
      <c r="O176" s="45"/>
      <c r="P176" s="45"/>
      <c r="Q176" s="45"/>
      <c r="R176" s="45"/>
    </row>
    <row r="177" spans="2:18" x14ac:dyDescent="0.2"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59"/>
      <c r="O177" s="45"/>
      <c r="P177" s="45"/>
      <c r="Q177" s="45"/>
      <c r="R177" s="45"/>
    </row>
    <row r="178" spans="2:18" x14ac:dyDescent="0.2"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59"/>
      <c r="O178" s="45"/>
      <c r="P178" s="45"/>
      <c r="Q178" s="45"/>
      <c r="R178" s="45"/>
    </row>
    <row r="179" spans="2:18" x14ac:dyDescent="0.2"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59"/>
      <c r="O179" s="45"/>
      <c r="P179" s="45"/>
      <c r="Q179" s="45"/>
      <c r="R179" s="45"/>
    </row>
    <row r="180" spans="2:18" x14ac:dyDescent="0.2"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59"/>
      <c r="O180" s="45"/>
      <c r="P180" s="45"/>
      <c r="Q180" s="45"/>
      <c r="R180" s="45"/>
    </row>
    <row r="181" spans="2:18" x14ac:dyDescent="0.2"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59"/>
      <c r="O181" s="45"/>
      <c r="P181" s="45"/>
      <c r="Q181" s="45"/>
      <c r="R181" s="45"/>
    </row>
    <row r="182" spans="2:18" x14ac:dyDescent="0.2"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59"/>
      <c r="O182" s="45"/>
      <c r="P182" s="45"/>
      <c r="Q182" s="45"/>
      <c r="R182" s="45"/>
    </row>
    <row r="183" spans="2:18" x14ac:dyDescent="0.2"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59"/>
      <c r="O183" s="45"/>
      <c r="P183" s="45"/>
      <c r="Q183" s="45"/>
      <c r="R183" s="45"/>
    </row>
    <row r="184" spans="2:18" x14ac:dyDescent="0.2"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59"/>
      <c r="O184" s="45"/>
      <c r="P184" s="45"/>
      <c r="Q184" s="45"/>
      <c r="R184" s="45"/>
    </row>
    <row r="185" spans="2:18" x14ac:dyDescent="0.2"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59"/>
      <c r="O185" s="45"/>
      <c r="P185" s="45"/>
      <c r="Q185" s="45"/>
      <c r="R185" s="45"/>
    </row>
    <row r="186" spans="2:18" x14ac:dyDescent="0.2"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59"/>
      <c r="O186" s="45"/>
      <c r="P186" s="45"/>
      <c r="Q186" s="45"/>
      <c r="R186" s="45"/>
    </row>
    <row r="187" spans="2:18" x14ac:dyDescent="0.2"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59"/>
      <c r="O187" s="45"/>
      <c r="P187" s="45"/>
      <c r="Q187" s="45"/>
      <c r="R187" s="45"/>
    </row>
    <row r="188" spans="2:18" x14ac:dyDescent="0.2"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59"/>
      <c r="O188" s="45"/>
      <c r="P188" s="45"/>
      <c r="Q188" s="45"/>
      <c r="R188" s="45"/>
    </row>
    <row r="189" spans="2:18" x14ac:dyDescent="0.2"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59"/>
      <c r="O189" s="45"/>
      <c r="P189" s="45"/>
      <c r="Q189" s="45"/>
      <c r="R189" s="45"/>
    </row>
    <row r="190" spans="2:18" x14ac:dyDescent="0.2"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59"/>
      <c r="O190" s="45"/>
      <c r="P190" s="45"/>
      <c r="Q190" s="45"/>
      <c r="R190" s="45"/>
    </row>
    <row r="191" spans="2:18" x14ac:dyDescent="0.2"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59"/>
      <c r="O191" s="45"/>
      <c r="P191" s="45"/>
      <c r="Q191" s="45"/>
      <c r="R191" s="45"/>
    </row>
    <row r="192" spans="2:18" x14ac:dyDescent="0.2"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59"/>
      <c r="O192" s="45"/>
      <c r="P192" s="45"/>
      <c r="Q192" s="45"/>
      <c r="R192" s="45"/>
    </row>
    <row r="193" spans="2:18" x14ac:dyDescent="0.2"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59"/>
      <c r="O193" s="45"/>
      <c r="P193" s="45"/>
      <c r="Q193" s="45"/>
      <c r="R193" s="45"/>
    </row>
    <row r="194" spans="2:18" x14ac:dyDescent="0.2"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59"/>
      <c r="O194" s="45"/>
      <c r="P194" s="45"/>
      <c r="Q194" s="45"/>
      <c r="R194" s="45"/>
    </row>
    <row r="195" spans="2:18" x14ac:dyDescent="0.2"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59"/>
      <c r="O195" s="45"/>
      <c r="P195" s="45"/>
      <c r="Q195" s="45"/>
      <c r="R195" s="45"/>
    </row>
    <row r="196" spans="2:18" x14ac:dyDescent="0.2"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59"/>
      <c r="O196" s="45"/>
      <c r="P196" s="45"/>
      <c r="Q196" s="45"/>
      <c r="R196" s="45"/>
    </row>
    <row r="197" spans="2:18" x14ac:dyDescent="0.2"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59"/>
      <c r="O197" s="45"/>
      <c r="P197" s="45"/>
      <c r="Q197" s="45"/>
      <c r="R197" s="45"/>
    </row>
    <row r="198" spans="2:18" x14ac:dyDescent="0.2"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59"/>
      <c r="O198" s="45"/>
      <c r="P198" s="45"/>
      <c r="Q198" s="45"/>
      <c r="R198" s="45"/>
    </row>
    <row r="199" spans="2:18" x14ac:dyDescent="0.2"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59"/>
      <c r="O199" s="45"/>
      <c r="P199" s="45"/>
      <c r="Q199" s="45"/>
      <c r="R199" s="45"/>
    </row>
    <row r="200" spans="2:18" x14ac:dyDescent="0.2"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59"/>
      <c r="O200" s="45"/>
      <c r="P200" s="45"/>
      <c r="Q200" s="45"/>
      <c r="R200" s="45"/>
    </row>
    <row r="201" spans="2:18" x14ac:dyDescent="0.2"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59"/>
      <c r="O201" s="45"/>
      <c r="P201" s="45"/>
      <c r="Q201" s="45"/>
      <c r="R201" s="45"/>
    </row>
    <row r="202" spans="2:18" x14ac:dyDescent="0.2"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59"/>
      <c r="O202" s="45"/>
      <c r="P202" s="45"/>
      <c r="Q202" s="45"/>
      <c r="R202" s="45"/>
    </row>
    <row r="203" spans="2:18" x14ac:dyDescent="0.2"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59"/>
      <c r="O203" s="45"/>
      <c r="P203" s="45"/>
      <c r="Q203" s="45"/>
      <c r="R203" s="45"/>
    </row>
    <row r="204" spans="2:18" x14ac:dyDescent="0.2"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59"/>
      <c r="O204" s="45"/>
      <c r="P204" s="45"/>
      <c r="Q204" s="45"/>
      <c r="R204" s="45"/>
    </row>
    <row r="205" spans="2:18" x14ac:dyDescent="0.2"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59"/>
      <c r="O205" s="45"/>
      <c r="P205" s="45"/>
      <c r="Q205" s="45"/>
      <c r="R205" s="45"/>
    </row>
    <row r="206" spans="2:18" x14ac:dyDescent="0.2"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59"/>
      <c r="O206" s="45"/>
      <c r="P206" s="45"/>
      <c r="Q206" s="45"/>
      <c r="R206" s="45"/>
    </row>
    <row r="207" spans="2:18" x14ac:dyDescent="0.2"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59"/>
      <c r="O207" s="45"/>
      <c r="P207" s="45"/>
      <c r="Q207" s="45"/>
      <c r="R207" s="45"/>
    </row>
    <row r="208" spans="2:18" x14ac:dyDescent="0.2"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59"/>
      <c r="O208" s="45"/>
      <c r="P208" s="45"/>
      <c r="Q208" s="45"/>
      <c r="R208" s="45"/>
    </row>
    <row r="209" spans="2:18" x14ac:dyDescent="0.2"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59"/>
      <c r="O209" s="45"/>
      <c r="P209" s="45"/>
      <c r="Q209" s="45"/>
      <c r="R209" s="45"/>
    </row>
    <row r="210" spans="2:18" x14ac:dyDescent="0.2"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59"/>
      <c r="O210" s="45"/>
      <c r="P210" s="45"/>
      <c r="Q210" s="45"/>
      <c r="R210" s="45"/>
    </row>
    <row r="211" spans="2:18" x14ac:dyDescent="0.2"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59"/>
      <c r="O211" s="45"/>
      <c r="P211" s="45"/>
      <c r="Q211" s="45"/>
      <c r="R211" s="45"/>
    </row>
    <row r="212" spans="2:18" x14ac:dyDescent="0.2"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59"/>
      <c r="O212" s="45"/>
      <c r="P212" s="45"/>
      <c r="Q212" s="45"/>
      <c r="R212" s="45"/>
    </row>
    <row r="213" spans="2:18" x14ac:dyDescent="0.2"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59"/>
      <c r="O213" s="45"/>
      <c r="P213" s="45"/>
      <c r="Q213" s="45"/>
      <c r="R213" s="45"/>
    </row>
    <row r="214" spans="2:18" x14ac:dyDescent="0.2"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59"/>
      <c r="O214" s="45"/>
      <c r="P214" s="45"/>
      <c r="Q214" s="45"/>
      <c r="R214" s="45"/>
    </row>
    <row r="215" spans="2:18" x14ac:dyDescent="0.2"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59"/>
      <c r="O215" s="45"/>
      <c r="P215" s="45"/>
      <c r="Q215" s="45"/>
      <c r="R215" s="45"/>
    </row>
    <row r="216" spans="2:18" x14ac:dyDescent="0.2"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59"/>
      <c r="O216" s="45"/>
      <c r="P216" s="45"/>
      <c r="Q216" s="45"/>
      <c r="R216" s="45"/>
    </row>
    <row r="217" spans="2:18" x14ac:dyDescent="0.2"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59"/>
      <c r="O217" s="45"/>
      <c r="P217" s="45"/>
      <c r="Q217" s="45"/>
      <c r="R217" s="45"/>
    </row>
    <row r="218" spans="2:18" x14ac:dyDescent="0.2"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59"/>
      <c r="O218" s="45"/>
      <c r="P218" s="45"/>
      <c r="Q218" s="45"/>
      <c r="R218" s="45"/>
    </row>
    <row r="219" spans="2:18" x14ac:dyDescent="0.2"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59"/>
      <c r="O219" s="45"/>
      <c r="P219" s="45"/>
      <c r="Q219" s="45"/>
      <c r="R219" s="45"/>
    </row>
    <row r="220" spans="2:18" x14ac:dyDescent="0.2"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59"/>
      <c r="O220" s="45"/>
      <c r="P220" s="45"/>
      <c r="Q220" s="45"/>
      <c r="R220" s="45"/>
    </row>
    <row r="221" spans="2:18" x14ac:dyDescent="0.2"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59"/>
      <c r="O221" s="45"/>
      <c r="P221" s="45"/>
      <c r="Q221" s="45"/>
      <c r="R221" s="45"/>
    </row>
    <row r="222" spans="2:18" x14ac:dyDescent="0.2"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59"/>
      <c r="O222" s="45"/>
      <c r="P222" s="45"/>
      <c r="Q222" s="45"/>
      <c r="R222" s="45"/>
    </row>
    <row r="223" spans="2:18" x14ac:dyDescent="0.2"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59"/>
      <c r="O223" s="45"/>
      <c r="P223" s="45"/>
      <c r="Q223" s="45"/>
      <c r="R223" s="45"/>
    </row>
    <row r="224" spans="2:18" x14ac:dyDescent="0.2"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59"/>
      <c r="O224" s="45"/>
      <c r="P224" s="45"/>
      <c r="Q224" s="45"/>
      <c r="R224" s="45"/>
    </row>
    <row r="225" spans="2:18" x14ac:dyDescent="0.2"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59"/>
      <c r="O225" s="45"/>
      <c r="P225" s="45"/>
      <c r="Q225" s="45"/>
      <c r="R225" s="45"/>
    </row>
    <row r="226" spans="2:18" x14ac:dyDescent="0.2"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59"/>
      <c r="O226" s="45"/>
      <c r="P226" s="45"/>
      <c r="Q226" s="45"/>
      <c r="R226" s="45"/>
    </row>
    <row r="227" spans="2:18" x14ac:dyDescent="0.2"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59"/>
      <c r="O227" s="45"/>
      <c r="P227" s="45"/>
      <c r="Q227" s="45"/>
      <c r="R227" s="45"/>
    </row>
    <row r="228" spans="2:18" x14ac:dyDescent="0.2"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59"/>
      <c r="O228" s="45"/>
      <c r="P228" s="45"/>
      <c r="Q228" s="45"/>
      <c r="R228" s="45"/>
    </row>
    <row r="229" spans="2:18" x14ac:dyDescent="0.2"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59"/>
      <c r="O229" s="45"/>
      <c r="P229" s="45"/>
      <c r="Q229" s="45"/>
      <c r="R229" s="45"/>
    </row>
    <row r="230" spans="2:18" x14ac:dyDescent="0.2"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59"/>
      <c r="O230" s="45"/>
      <c r="P230" s="45"/>
      <c r="Q230" s="45"/>
      <c r="R230" s="45"/>
    </row>
    <row r="231" spans="2:18" x14ac:dyDescent="0.2"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59"/>
      <c r="O231" s="45"/>
      <c r="P231" s="45"/>
      <c r="Q231" s="45"/>
      <c r="R231" s="45"/>
    </row>
    <row r="232" spans="2:18" x14ac:dyDescent="0.2"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59"/>
      <c r="O232" s="45"/>
      <c r="P232" s="45"/>
      <c r="Q232" s="45"/>
      <c r="R232" s="45"/>
    </row>
    <row r="233" spans="2:18" x14ac:dyDescent="0.2"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59"/>
      <c r="O233" s="45"/>
      <c r="P233" s="45"/>
      <c r="Q233" s="45"/>
      <c r="R233" s="45"/>
    </row>
    <row r="234" spans="2:18" x14ac:dyDescent="0.2"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59"/>
      <c r="O234" s="45"/>
      <c r="P234" s="45"/>
      <c r="Q234" s="45"/>
      <c r="R234" s="45"/>
    </row>
    <row r="235" spans="2:18" x14ac:dyDescent="0.2"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59"/>
      <c r="O235" s="45"/>
      <c r="P235" s="45"/>
      <c r="Q235" s="45"/>
      <c r="R235" s="45"/>
    </row>
    <row r="236" spans="2:18" x14ac:dyDescent="0.2"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59"/>
      <c r="O236" s="45"/>
      <c r="P236" s="45"/>
      <c r="Q236" s="45"/>
      <c r="R236" s="45"/>
    </row>
    <row r="237" spans="2:18" x14ac:dyDescent="0.2"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59"/>
      <c r="O237" s="45"/>
      <c r="P237" s="45"/>
      <c r="Q237" s="45"/>
      <c r="R237" s="45"/>
    </row>
    <row r="238" spans="2:18" x14ac:dyDescent="0.2"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59"/>
      <c r="O238" s="45"/>
      <c r="P238" s="45"/>
      <c r="Q238" s="45"/>
      <c r="R238" s="45"/>
    </row>
    <row r="239" spans="2:18" x14ac:dyDescent="0.2"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59"/>
      <c r="O239" s="45"/>
      <c r="P239" s="45"/>
      <c r="Q239" s="45"/>
      <c r="R239" s="45"/>
    </row>
    <row r="240" spans="2:18" x14ac:dyDescent="0.2"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59"/>
      <c r="O240" s="45"/>
      <c r="P240" s="45"/>
      <c r="Q240" s="45"/>
      <c r="R240" s="45"/>
    </row>
    <row r="241" spans="2:18" x14ac:dyDescent="0.2"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59"/>
      <c r="O241" s="45"/>
      <c r="P241" s="45"/>
      <c r="Q241" s="45"/>
      <c r="R241" s="45"/>
    </row>
    <row r="242" spans="2:18" x14ac:dyDescent="0.2"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59"/>
      <c r="O242" s="45"/>
      <c r="P242" s="45"/>
      <c r="Q242" s="45"/>
      <c r="R242" s="45"/>
    </row>
    <row r="243" spans="2:18" x14ac:dyDescent="0.2"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59"/>
      <c r="O243" s="45"/>
      <c r="P243" s="45"/>
      <c r="Q243" s="45"/>
      <c r="R243" s="45"/>
    </row>
    <row r="244" spans="2:18" x14ac:dyDescent="0.2"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59"/>
      <c r="O244" s="45"/>
      <c r="P244" s="45"/>
      <c r="Q244" s="45"/>
      <c r="R244" s="45"/>
    </row>
    <row r="245" spans="2:18" x14ac:dyDescent="0.2"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59"/>
      <c r="O245" s="45"/>
      <c r="P245" s="45"/>
      <c r="Q245" s="45"/>
      <c r="R245" s="45"/>
    </row>
    <row r="246" spans="2:18" x14ac:dyDescent="0.2"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59"/>
      <c r="O246" s="45"/>
      <c r="P246" s="45"/>
      <c r="Q246" s="45"/>
      <c r="R246" s="45"/>
    </row>
    <row r="247" spans="2:18" x14ac:dyDescent="0.2"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59"/>
      <c r="O247" s="45"/>
      <c r="P247" s="45"/>
      <c r="Q247" s="45"/>
      <c r="R247" s="45"/>
    </row>
    <row r="248" spans="2:18" x14ac:dyDescent="0.2"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59"/>
      <c r="O248" s="45"/>
      <c r="P248" s="45"/>
      <c r="Q248" s="45"/>
      <c r="R248" s="45"/>
    </row>
    <row r="249" spans="2:18" x14ac:dyDescent="0.2"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59"/>
      <c r="O249" s="45"/>
      <c r="P249" s="45"/>
      <c r="Q249" s="45"/>
      <c r="R249" s="45"/>
    </row>
    <row r="250" spans="2:18" x14ac:dyDescent="0.2"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59"/>
      <c r="O250" s="45"/>
      <c r="P250" s="45"/>
      <c r="Q250" s="45"/>
      <c r="R250" s="45"/>
    </row>
    <row r="251" spans="2:18" x14ac:dyDescent="0.2"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59"/>
      <c r="O251" s="45"/>
      <c r="P251" s="45"/>
      <c r="Q251" s="45"/>
      <c r="R251" s="45"/>
    </row>
    <row r="252" spans="2:18" x14ac:dyDescent="0.2"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59"/>
      <c r="O252" s="45"/>
      <c r="P252" s="45"/>
      <c r="Q252" s="45"/>
      <c r="R252" s="45"/>
    </row>
    <row r="253" spans="2:18" x14ac:dyDescent="0.2"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59"/>
      <c r="O253" s="45"/>
      <c r="P253" s="45"/>
      <c r="Q253" s="45"/>
      <c r="R253" s="45"/>
    </row>
    <row r="254" spans="2:18" x14ac:dyDescent="0.2"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59"/>
      <c r="O254" s="45"/>
      <c r="P254" s="45"/>
      <c r="Q254" s="45"/>
      <c r="R254" s="45"/>
    </row>
    <row r="255" spans="2:18" x14ac:dyDescent="0.2"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59"/>
      <c r="O255" s="45"/>
      <c r="P255" s="45"/>
      <c r="Q255" s="45"/>
      <c r="R255" s="45"/>
    </row>
    <row r="256" spans="2:18" x14ac:dyDescent="0.2"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59"/>
      <c r="O256" s="45"/>
      <c r="P256" s="45"/>
      <c r="Q256" s="45"/>
      <c r="R256" s="45"/>
    </row>
    <row r="257" spans="2:18" x14ac:dyDescent="0.2"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59"/>
      <c r="O257" s="45"/>
      <c r="P257" s="45"/>
      <c r="Q257" s="45"/>
      <c r="R257" s="45"/>
    </row>
    <row r="258" spans="2:18" x14ac:dyDescent="0.2"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59"/>
      <c r="O258" s="45"/>
      <c r="P258" s="45"/>
      <c r="Q258" s="45"/>
      <c r="R258" s="45"/>
    </row>
    <row r="259" spans="2:18" x14ac:dyDescent="0.2"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59"/>
      <c r="O259" s="45"/>
      <c r="P259" s="45"/>
      <c r="Q259" s="45"/>
      <c r="R259" s="45"/>
    </row>
    <row r="260" spans="2:18" x14ac:dyDescent="0.2"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59"/>
      <c r="O260" s="45"/>
      <c r="P260" s="45"/>
      <c r="Q260" s="45"/>
      <c r="R260" s="45"/>
    </row>
    <row r="261" spans="2:18" x14ac:dyDescent="0.2"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59"/>
      <c r="O261" s="45"/>
      <c r="P261" s="45"/>
      <c r="Q261" s="45"/>
      <c r="R261" s="45"/>
    </row>
    <row r="262" spans="2:18" x14ac:dyDescent="0.2"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59"/>
      <c r="O262" s="45"/>
      <c r="P262" s="45"/>
      <c r="Q262" s="45"/>
      <c r="R262" s="45"/>
    </row>
    <row r="263" spans="2:18" x14ac:dyDescent="0.2"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59"/>
      <c r="O263" s="45"/>
      <c r="P263" s="45"/>
      <c r="Q263" s="45"/>
      <c r="R263" s="45"/>
    </row>
    <row r="264" spans="2:18" x14ac:dyDescent="0.2"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59"/>
      <c r="O264" s="45"/>
      <c r="P264" s="45"/>
      <c r="Q264" s="45"/>
      <c r="R264" s="45"/>
    </row>
    <row r="265" spans="2:18" x14ac:dyDescent="0.2"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59"/>
      <c r="O265" s="45"/>
      <c r="P265" s="45"/>
      <c r="Q265" s="45"/>
      <c r="R265" s="45"/>
    </row>
    <row r="266" spans="2:18" x14ac:dyDescent="0.2"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59"/>
      <c r="O266" s="45"/>
      <c r="P266" s="45"/>
      <c r="Q266" s="45"/>
      <c r="R266" s="45"/>
    </row>
    <row r="267" spans="2:18" x14ac:dyDescent="0.2"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59"/>
      <c r="O267" s="45"/>
      <c r="P267" s="45"/>
      <c r="Q267" s="45"/>
      <c r="R267" s="45"/>
    </row>
    <row r="268" spans="2:18" x14ac:dyDescent="0.2"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59"/>
      <c r="O268" s="45"/>
      <c r="P268" s="45"/>
      <c r="Q268" s="45"/>
      <c r="R268" s="45"/>
    </row>
    <row r="269" spans="2:18" x14ac:dyDescent="0.2"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59"/>
      <c r="O269" s="45"/>
      <c r="P269" s="45"/>
      <c r="Q269" s="45"/>
      <c r="R269" s="45"/>
    </row>
    <row r="270" spans="2:18" x14ac:dyDescent="0.2"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59"/>
      <c r="O270" s="45"/>
      <c r="P270" s="45"/>
      <c r="Q270" s="45"/>
      <c r="R270" s="45"/>
    </row>
    <row r="271" spans="2:18" x14ac:dyDescent="0.2"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59"/>
      <c r="O271" s="45"/>
      <c r="P271" s="45"/>
      <c r="Q271" s="45"/>
      <c r="R271" s="45"/>
    </row>
    <row r="272" spans="2:18" x14ac:dyDescent="0.2"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59"/>
      <c r="O272" s="45"/>
      <c r="P272" s="45"/>
      <c r="Q272" s="45"/>
      <c r="R272" s="45"/>
    </row>
    <row r="273" spans="2:18" x14ac:dyDescent="0.2"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59"/>
      <c r="O273" s="45"/>
      <c r="P273" s="45"/>
      <c r="Q273" s="45"/>
      <c r="R273" s="45"/>
    </row>
    <row r="274" spans="2:18" x14ac:dyDescent="0.2"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59"/>
      <c r="O274" s="45"/>
      <c r="P274" s="45"/>
      <c r="Q274" s="45"/>
      <c r="R274" s="45"/>
    </row>
    <row r="275" spans="2:18" x14ac:dyDescent="0.2"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59"/>
      <c r="O275" s="45"/>
      <c r="P275" s="45"/>
      <c r="Q275" s="45"/>
      <c r="R275" s="45"/>
    </row>
    <row r="276" spans="2:18" x14ac:dyDescent="0.2"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59"/>
      <c r="O276" s="45"/>
      <c r="P276" s="45"/>
      <c r="Q276" s="45"/>
      <c r="R276" s="45"/>
    </row>
    <row r="277" spans="2:18" x14ac:dyDescent="0.2"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59"/>
      <c r="O277" s="45"/>
      <c r="P277" s="45"/>
      <c r="Q277" s="45"/>
      <c r="R277" s="45"/>
    </row>
    <row r="278" spans="2:18" x14ac:dyDescent="0.2"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59"/>
      <c r="O278" s="45"/>
      <c r="P278" s="45"/>
      <c r="Q278" s="45"/>
      <c r="R278" s="45"/>
    </row>
    <row r="279" spans="2:18" x14ac:dyDescent="0.2"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59"/>
      <c r="O279" s="45"/>
      <c r="P279" s="45"/>
      <c r="Q279" s="45"/>
      <c r="R279" s="45"/>
    </row>
    <row r="280" spans="2:18" x14ac:dyDescent="0.2"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59"/>
      <c r="O280" s="45"/>
      <c r="P280" s="45"/>
      <c r="Q280" s="45"/>
      <c r="R280" s="45"/>
    </row>
    <row r="281" spans="2:18" x14ac:dyDescent="0.2"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59"/>
      <c r="O281" s="45"/>
      <c r="P281" s="45"/>
      <c r="Q281" s="45"/>
      <c r="R281" s="45"/>
    </row>
    <row r="282" spans="2:18" x14ac:dyDescent="0.2"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59"/>
      <c r="O282" s="45"/>
      <c r="P282" s="45"/>
      <c r="Q282" s="45"/>
      <c r="R282" s="45"/>
    </row>
    <row r="283" spans="2:18" x14ac:dyDescent="0.2"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59"/>
      <c r="O283" s="45"/>
      <c r="P283" s="45"/>
      <c r="Q283" s="45"/>
      <c r="R283" s="45"/>
    </row>
    <row r="284" spans="2:18" x14ac:dyDescent="0.2"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59"/>
      <c r="O284" s="45"/>
      <c r="P284" s="45"/>
      <c r="Q284" s="45"/>
      <c r="R284" s="45"/>
    </row>
    <row r="285" spans="2:18" x14ac:dyDescent="0.2"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59"/>
      <c r="O285" s="45"/>
      <c r="P285" s="45"/>
      <c r="Q285" s="45"/>
      <c r="R285" s="45"/>
    </row>
    <row r="286" spans="2:18" x14ac:dyDescent="0.2"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59"/>
      <c r="O286" s="45"/>
      <c r="P286" s="45"/>
      <c r="Q286" s="45"/>
      <c r="R286" s="45"/>
    </row>
    <row r="287" spans="2:18" x14ac:dyDescent="0.2"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59"/>
      <c r="O287" s="45"/>
      <c r="P287" s="45"/>
      <c r="Q287" s="45"/>
      <c r="R287" s="45"/>
    </row>
    <row r="288" spans="2:18" x14ac:dyDescent="0.2"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59"/>
      <c r="O288" s="45"/>
      <c r="P288" s="45"/>
      <c r="Q288" s="45"/>
      <c r="R288" s="45"/>
    </row>
    <row r="289" spans="2:18" x14ac:dyDescent="0.2"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59"/>
      <c r="O289" s="45"/>
      <c r="P289" s="45"/>
      <c r="Q289" s="45"/>
      <c r="R289" s="45"/>
    </row>
    <row r="290" spans="2:18" x14ac:dyDescent="0.2"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59"/>
      <c r="O290" s="45"/>
      <c r="P290" s="45"/>
      <c r="Q290" s="45"/>
      <c r="R290" s="45"/>
    </row>
    <row r="291" spans="2:18" x14ac:dyDescent="0.2"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59"/>
      <c r="O291" s="45"/>
      <c r="P291" s="45"/>
      <c r="Q291" s="45"/>
      <c r="R291" s="45"/>
    </row>
    <row r="292" spans="2:18" x14ac:dyDescent="0.2"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59"/>
      <c r="O292" s="45"/>
      <c r="P292" s="45"/>
      <c r="Q292" s="45"/>
      <c r="R292" s="45"/>
    </row>
    <row r="293" spans="2:18" x14ac:dyDescent="0.2"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59"/>
      <c r="O293" s="45"/>
      <c r="P293" s="45"/>
      <c r="Q293" s="45"/>
      <c r="R293" s="45"/>
    </row>
    <row r="294" spans="2:18" x14ac:dyDescent="0.2"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59"/>
      <c r="O294" s="45"/>
      <c r="P294" s="45"/>
      <c r="Q294" s="45"/>
      <c r="R294" s="45"/>
    </row>
    <row r="295" spans="2:18" x14ac:dyDescent="0.2"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59"/>
      <c r="O295" s="45"/>
      <c r="P295" s="45"/>
      <c r="Q295" s="45"/>
      <c r="R295" s="45"/>
    </row>
    <row r="296" spans="2:18" x14ac:dyDescent="0.2"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59"/>
      <c r="O296" s="45"/>
      <c r="P296" s="45"/>
      <c r="Q296" s="45"/>
      <c r="R296" s="45"/>
    </row>
    <row r="297" spans="2:18" x14ac:dyDescent="0.2"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59"/>
      <c r="O297" s="45"/>
      <c r="P297" s="45"/>
      <c r="Q297" s="45"/>
      <c r="R297" s="45"/>
    </row>
    <row r="298" spans="2:18" x14ac:dyDescent="0.2"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59"/>
      <c r="O298" s="45"/>
      <c r="P298" s="45"/>
      <c r="Q298" s="45"/>
      <c r="R298" s="45"/>
    </row>
    <row r="299" spans="2:18" x14ac:dyDescent="0.2"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59"/>
      <c r="O299" s="45"/>
      <c r="P299" s="45"/>
      <c r="Q299" s="45"/>
      <c r="R299" s="45"/>
    </row>
    <row r="300" spans="2:18" x14ac:dyDescent="0.2"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59"/>
      <c r="O300" s="45"/>
      <c r="P300" s="45"/>
      <c r="Q300" s="45"/>
      <c r="R300" s="45"/>
    </row>
    <row r="301" spans="2:18" x14ac:dyDescent="0.2"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59"/>
      <c r="O301" s="45"/>
      <c r="P301" s="45"/>
      <c r="Q301" s="45"/>
      <c r="R301" s="45"/>
    </row>
    <row r="302" spans="2:18" x14ac:dyDescent="0.2"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59"/>
      <c r="O302" s="45"/>
      <c r="P302" s="45"/>
      <c r="Q302" s="45"/>
      <c r="R302" s="45"/>
    </row>
    <row r="303" spans="2:18" x14ac:dyDescent="0.2"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59"/>
      <c r="O303" s="45"/>
      <c r="P303" s="45"/>
      <c r="Q303" s="45"/>
      <c r="R303" s="45"/>
    </row>
    <row r="304" spans="2:18" x14ac:dyDescent="0.2"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59"/>
      <c r="O304" s="45"/>
      <c r="P304" s="45"/>
      <c r="Q304" s="45"/>
      <c r="R304" s="45"/>
    </row>
    <row r="305" spans="2:18" x14ac:dyDescent="0.2"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59"/>
      <c r="O305" s="45"/>
      <c r="P305" s="45"/>
      <c r="Q305" s="45"/>
      <c r="R305" s="45"/>
    </row>
    <row r="306" spans="2:18" x14ac:dyDescent="0.2"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59"/>
      <c r="O306" s="45"/>
      <c r="P306" s="45"/>
      <c r="Q306" s="45"/>
      <c r="R306" s="45"/>
    </row>
    <row r="307" spans="2:18" x14ac:dyDescent="0.2"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59"/>
      <c r="O307" s="45"/>
      <c r="P307" s="45"/>
      <c r="Q307" s="45"/>
      <c r="R307" s="45"/>
    </row>
    <row r="308" spans="2:18" x14ac:dyDescent="0.2"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59"/>
      <c r="O308" s="45"/>
      <c r="P308" s="45"/>
      <c r="Q308" s="45"/>
      <c r="R308" s="45"/>
    </row>
    <row r="309" spans="2:18" x14ac:dyDescent="0.2"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59"/>
      <c r="O309" s="45"/>
      <c r="P309" s="45"/>
      <c r="Q309" s="45"/>
      <c r="R309" s="45"/>
    </row>
    <row r="310" spans="2:18" x14ac:dyDescent="0.2"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59"/>
      <c r="O310" s="45"/>
      <c r="P310" s="45"/>
      <c r="Q310" s="45"/>
      <c r="R310" s="45"/>
    </row>
    <row r="311" spans="2:18" x14ac:dyDescent="0.2"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59"/>
      <c r="O311" s="45"/>
      <c r="P311" s="45"/>
      <c r="Q311" s="45"/>
      <c r="R311" s="45"/>
    </row>
    <row r="312" spans="2:18" x14ac:dyDescent="0.2"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59"/>
      <c r="O312" s="45"/>
      <c r="P312" s="45"/>
      <c r="Q312" s="45"/>
      <c r="R312" s="45"/>
    </row>
    <row r="313" spans="2:18" x14ac:dyDescent="0.2"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59"/>
      <c r="O313" s="45"/>
      <c r="P313" s="45"/>
      <c r="Q313" s="45"/>
      <c r="R313" s="45"/>
    </row>
    <row r="314" spans="2:18" x14ac:dyDescent="0.2"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59"/>
      <c r="O314" s="45"/>
      <c r="P314" s="45"/>
      <c r="Q314" s="45"/>
      <c r="R314" s="45"/>
    </row>
    <row r="315" spans="2:18" x14ac:dyDescent="0.2"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59"/>
      <c r="O315" s="45"/>
      <c r="P315" s="45"/>
      <c r="Q315" s="45"/>
      <c r="R315" s="45"/>
    </row>
    <row r="316" spans="2:18" x14ac:dyDescent="0.2"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59"/>
      <c r="O316" s="45"/>
      <c r="P316" s="45"/>
      <c r="Q316" s="45"/>
      <c r="R316" s="45"/>
    </row>
    <row r="317" spans="2:18" x14ac:dyDescent="0.2"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59"/>
      <c r="O317" s="45"/>
      <c r="P317" s="45"/>
      <c r="Q317" s="45"/>
      <c r="R317" s="45"/>
    </row>
    <row r="318" spans="2:18" x14ac:dyDescent="0.2"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59"/>
      <c r="O318" s="45"/>
      <c r="P318" s="45"/>
      <c r="Q318" s="45"/>
      <c r="R318" s="45"/>
    </row>
    <row r="319" spans="2:18" x14ac:dyDescent="0.2"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59"/>
      <c r="O319" s="45"/>
      <c r="P319" s="45"/>
      <c r="Q319" s="45"/>
      <c r="R319" s="45"/>
    </row>
    <row r="320" spans="2:18" x14ac:dyDescent="0.2"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59"/>
      <c r="O320" s="45"/>
      <c r="P320" s="45"/>
      <c r="Q320" s="45"/>
      <c r="R320" s="45"/>
    </row>
    <row r="321" spans="2:18" x14ac:dyDescent="0.2"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59"/>
      <c r="O321" s="45"/>
      <c r="P321" s="45"/>
      <c r="Q321" s="45"/>
      <c r="R321" s="45"/>
    </row>
    <row r="322" spans="2:18" x14ac:dyDescent="0.2"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59"/>
      <c r="O322" s="45"/>
      <c r="P322" s="45"/>
      <c r="Q322" s="45"/>
      <c r="R322" s="45"/>
    </row>
    <row r="323" spans="2:18" x14ac:dyDescent="0.2"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59"/>
      <c r="O323" s="45"/>
      <c r="P323" s="45"/>
      <c r="Q323" s="45"/>
      <c r="R323" s="45"/>
    </row>
    <row r="324" spans="2:18" x14ac:dyDescent="0.2"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59"/>
      <c r="O324" s="45"/>
      <c r="P324" s="45"/>
      <c r="Q324" s="45"/>
      <c r="R324" s="45"/>
    </row>
    <row r="325" spans="2:18" x14ac:dyDescent="0.2"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59"/>
      <c r="O325" s="45"/>
      <c r="P325" s="45"/>
      <c r="Q325" s="45"/>
      <c r="R325" s="45"/>
    </row>
    <row r="326" spans="2:18" x14ac:dyDescent="0.2"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59"/>
      <c r="O326" s="45"/>
      <c r="P326" s="45"/>
      <c r="Q326" s="45"/>
      <c r="R326" s="45"/>
    </row>
    <row r="327" spans="2:18" x14ac:dyDescent="0.2"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59"/>
      <c r="O327" s="45"/>
      <c r="P327" s="45"/>
      <c r="Q327" s="45"/>
      <c r="R327" s="45"/>
    </row>
    <row r="328" spans="2:18" x14ac:dyDescent="0.2"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59"/>
      <c r="O328" s="45"/>
      <c r="P328" s="45"/>
      <c r="Q328" s="45"/>
      <c r="R328" s="45"/>
    </row>
    <row r="329" spans="2:18" x14ac:dyDescent="0.2"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59"/>
      <c r="O329" s="45"/>
      <c r="P329" s="45"/>
      <c r="Q329" s="45"/>
      <c r="R329" s="45"/>
    </row>
    <row r="330" spans="2:18" x14ac:dyDescent="0.2"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59"/>
      <c r="O330" s="45"/>
      <c r="P330" s="45"/>
      <c r="Q330" s="45"/>
      <c r="R330" s="45"/>
    </row>
    <row r="331" spans="2:18" x14ac:dyDescent="0.2"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59"/>
      <c r="O331" s="45"/>
      <c r="P331" s="45"/>
      <c r="Q331" s="45"/>
      <c r="R331" s="45"/>
    </row>
    <row r="332" spans="2:18" x14ac:dyDescent="0.2"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59"/>
      <c r="O332" s="45"/>
      <c r="P332" s="45"/>
      <c r="Q332" s="45"/>
      <c r="R332" s="45"/>
    </row>
    <row r="333" spans="2:18" x14ac:dyDescent="0.2"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59"/>
      <c r="O333" s="45"/>
      <c r="P333" s="45"/>
      <c r="Q333" s="45"/>
      <c r="R333" s="45"/>
    </row>
    <row r="334" spans="2:18" x14ac:dyDescent="0.2"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59"/>
      <c r="O334" s="45"/>
      <c r="P334" s="45"/>
      <c r="Q334" s="45"/>
      <c r="R334" s="45"/>
    </row>
    <row r="335" spans="2:18" x14ac:dyDescent="0.2"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59"/>
      <c r="O335" s="45"/>
      <c r="P335" s="45"/>
      <c r="Q335" s="45"/>
      <c r="R335" s="45"/>
    </row>
    <row r="336" spans="2:18" x14ac:dyDescent="0.2"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59"/>
      <c r="O336" s="45"/>
      <c r="P336" s="45"/>
      <c r="Q336" s="45"/>
      <c r="R336" s="45"/>
    </row>
    <row r="337" spans="2:18" x14ac:dyDescent="0.2"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59"/>
      <c r="O337" s="45"/>
      <c r="P337" s="45"/>
      <c r="Q337" s="45"/>
      <c r="R337" s="45"/>
    </row>
    <row r="338" spans="2:18" x14ac:dyDescent="0.2"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59"/>
      <c r="O338" s="45"/>
      <c r="P338" s="45"/>
      <c r="Q338" s="45"/>
      <c r="R338" s="45"/>
    </row>
    <row r="339" spans="2:18" x14ac:dyDescent="0.2"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59"/>
      <c r="O339" s="45"/>
      <c r="P339" s="45"/>
      <c r="Q339" s="45"/>
      <c r="R339" s="45"/>
    </row>
    <row r="340" spans="2:18" x14ac:dyDescent="0.2"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59"/>
      <c r="O340" s="45"/>
      <c r="P340" s="45"/>
      <c r="Q340" s="45"/>
      <c r="R340" s="45"/>
    </row>
    <row r="341" spans="2:18" x14ac:dyDescent="0.2"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59"/>
      <c r="O341" s="45"/>
      <c r="P341" s="45"/>
      <c r="Q341" s="45"/>
      <c r="R341" s="45"/>
    </row>
    <row r="342" spans="2:18" x14ac:dyDescent="0.2"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59"/>
      <c r="O342" s="45"/>
      <c r="P342" s="45"/>
      <c r="Q342" s="45"/>
      <c r="R342" s="45"/>
    </row>
    <row r="343" spans="2:18" x14ac:dyDescent="0.2"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59"/>
      <c r="O343" s="45"/>
      <c r="P343" s="45"/>
      <c r="Q343" s="45"/>
      <c r="R343" s="45"/>
    </row>
    <row r="344" spans="2:18" x14ac:dyDescent="0.2"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59"/>
      <c r="O344" s="45"/>
      <c r="P344" s="45"/>
      <c r="Q344" s="45"/>
      <c r="R344" s="45"/>
    </row>
    <row r="345" spans="2:18" x14ac:dyDescent="0.2"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59"/>
      <c r="O345" s="45"/>
      <c r="P345" s="45"/>
      <c r="Q345" s="45"/>
      <c r="R345" s="45"/>
    </row>
    <row r="346" spans="2:18" x14ac:dyDescent="0.2"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59"/>
      <c r="O346" s="45"/>
      <c r="P346" s="45"/>
      <c r="Q346" s="45"/>
      <c r="R346" s="45"/>
    </row>
    <row r="347" spans="2:18" x14ac:dyDescent="0.2"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59"/>
      <c r="O347" s="45"/>
      <c r="P347" s="45"/>
      <c r="Q347" s="45"/>
      <c r="R347" s="45"/>
    </row>
    <row r="348" spans="2:18" x14ac:dyDescent="0.2"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59"/>
      <c r="O348" s="45"/>
      <c r="P348" s="45"/>
      <c r="Q348" s="45"/>
      <c r="R348" s="45"/>
    </row>
    <row r="349" spans="2:18" x14ac:dyDescent="0.2"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59"/>
      <c r="O349" s="45"/>
      <c r="P349" s="45"/>
      <c r="Q349" s="45"/>
      <c r="R349" s="45"/>
    </row>
    <row r="350" spans="2:18" x14ac:dyDescent="0.2"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59"/>
      <c r="O350" s="45"/>
      <c r="P350" s="45"/>
      <c r="Q350" s="45"/>
      <c r="R350" s="45"/>
    </row>
    <row r="351" spans="2:18" x14ac:dyDescent="0.2"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59"/>
      <c r="O351" s="45"/>
      <c r="P351" s="45"/>
      <c r="Q351" s="45"/>
      <c r="R351" s="45"/>
    </row>
    <row r="352" spans="2:18" x14ac:dyDescent="0.2"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59"/>
      <c r="O352" s="45"/>
      <c r="P352" s="45"/>
      <c r="Q352" s="45"/>
      <c r="R352" s="45"/>
    </row>
    <row r="353" spans="2:18" x14ac:dyDescent="0.2"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59"/>
      <c r="O353" s="45"/>
      <c r="P353" s="45"/>
      <c r="Q353" s="45"/>
      <c r="R353" s="45"/>
    </row>
    <row r="354" spans="2:18" x14ac:dyDescent="0.2"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59"/>
      <c r="O354" s="45"/>
      <c r="P354" s="45"/>
      <c r="Q354" s="45"/>
      <c r="R354" s="45"/>
    </row>
    <row r="355" spans="2:18" x14ac:dyDescent="0.2"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59"/>
      <c r="O355" s="45"/>
      <c r="P355" s="45"/>
      <c r="Q355" s="45"/>
      <c r="R355" s="45"/>
    </row>
    <row r="356" spans="2:18" x14ac:dyDescent="0.2"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59"/>
      <c r="O356" s="45"/>
      <c r="P356" s="45"/>
      <c r="Q356" s="45"/>
      <c r="R356" s="45"/>
    </row>
    <row r="357" spans="2:18" x14ac:dyDescent="0.2"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59"/>
      <c r="O357" s="45"/>
      <c r="P357" s="45"/>
      <c r="Q357" s="45"/>
      <c r="R357" s="45"/>
    </row>
    <row r="358" spans="2:18" x14ac:dyDescent="0.2"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59"/>
      <c r="O358" s="45"/>
      <c r="P358" s="45"/>
      <c r="Q358" s="45"/>
      <c r="R358" s="45"/>
    </row>
    <row r="359" spans="2:18" x14ac:dyDescent="0.2"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59"/>
      <c r="O359" s="45"/>
      <c r="P359" s="45"/>
      <c r="Q359" s="45"/>
      <c r="R359" s="45"/>
    </row>
    <row r="360" spans="2:18" x14ac:dyDescent="0.2"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59"/>
      <c r="O360" s="45"/>
      <c r="P360" s="45"/>
      <c r="Q360" s="45"/>
      <c r="R360" s="45"/>
    </row>
    <row r="361" spans="2:18" x14ac:dyDescent="0.2"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59"/>
      <c r="O361" s="45"/>
      <c r="P361" s="45"/>
      <c r="Q361" s="45"/>
      <c r="R361" s="45"/>
    </row>
    <row r="362" spans="2:18" x14ac:dyDescent="0.2"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59"/>
      <c r="O362" s="45"/>
      <c r="P362" s="45"/>
      <c r="Q362" s="45"/>
      <c r="R362" s="45"/>
    </row>
    <row r="363" spans="2:18" x14ac:dyDescent="0.2"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59"/>
      <c r="O363" s="45"/>
      <c r="P363" s="45"/>
      <c r="Q363" s="45"/>
      <c r="R363" s="45"/>
    </row>
    <row r="364" spans="2:18" x14ac:dyDescent="0.2"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59"/>
      <c r="O364" s="45"/>
      <c r="P364" s="45"/>
      <c r="Q364" s="45"/>
      <c r="R364" s="45"/>
    </row>
    <row r="365" spans="2:18" x14ac:dyDescent="0.2"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59"/>
      <c r="O365" s="45"/>
      <c r="P365" s="45"/>
      <c r="Q365" s="45"/>
      <c r="R365" s="45"/>
    </row>
    <row r="366" spans="2:18" x14ac:dyDescent="0.2"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59"/>
      <c r="O366" s="45"/>
      <c r="P366" s="45"/>
      <c r="Q366" s="45"/>
      <c r="R366" s="45"/>
    </row>
    <row r="367" spans="2:18" x14ac:dyDescent="0.2"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59"/>
      <c r="O367" s="45"/>
      <c r="P367" s="45"/>
      <c r="Q367" s="45"/>
      <c r="R367" s="45"/>
    </row>
    <row r="368" spans="2:18" x14ac:dyDescent="0.2"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59"/>
      <c r="O368" s="45"/>
      <c r="P368" s="45"/>
      <c r="Q368" s="45"/>
      <c r="R368" s="45"/>
    </row>
    <row r="369" spans="2:18" x14ac:dyDescent="0.2"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59"/>
      <c r="O369" s="45"/>
      <c r="P369" s="45"/>
      <c r="Q369" s="45"/>
      <c r="R369" s="45"/>
    </row>
    <row r="370" spans="2:18" x14ac:dyDescent="0.2"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59"/>
      <c r="O370" s="45"/>
      <c r="P370" s="45"/>
      <c r="Q370" s="45"/>
      <c r="R370" s="45"/>
    </row>
    <row r="371" spans="2:18" x14ac:dyDescent="0.2"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59"/>
      <c r="O371" s="45"/>
      <c r="P371" s="45"/>
      <c r="Q371" s="45"/>
      <c r="R371" s="45"/>
    </row>
    <row r="372" spans="2:18" x14ac:dyDescent="0.2"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59"/>
      <c r="O372" s="45"/>
      <c r="P372" s="45"/>
      <c r="Q372" s="45"/>
      <c r="R372" s="45"/>
    </row>
    <row r="373" spans="2:18" x14ac:dyDescent="0.2"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59"/>
      <c r="O373" s="45"/>
      <c r="P373" s="45"/>
      <c r="Q373" s="45"/>
      <c r="R373" s="45"/>
    </row>
    <row r="374" spans="2:18" x14ac:dyDescent="0.2"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59"/>
      <c r="O374" s="45"/>
      <c r="P374" s="45"/>
      <c r="Q374" s="45"/>
      <c r="R374" s="45"/>
    </row>
    <row r="375" spans="2:18" x14ac:dyDescent="0.2"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59"/>
      <c r="O375" s="45"/>
      <c r="P375" s="45"/>
      <c r="Q375" s="45"/>
      <c r="R375" s="45"/>
    </row>
    <row r="376" spans="2:18" x14ac:dyDescent="0.2"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59"/>
      <c r="O376" s="45"/>
      <c r="P376" s="45"/>
      <c r="Q376" s="45"/>
      <c r="R376" s="45"/>
    </row>
    <row r="377" spans="2:18" x14ac:dyDescent="0.2"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59"/>
      <c r="O377" s="45"/>
      <c r="P377" s="45"/>
      <c r="Q377" s="45"/>
      <c r="R377" s="45"/>
    </row>
    <row r="378" spans="2:18" x14ac:dyDescent="0.2"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59"/>
      <c r="O378" s="45"/>
      <c r="P378" s="45"/>
      <c r="Q378" s="45"/>
      <c r="R378" s="45"/>
    </row>
    <row r="379" spans="2:18" x14ac:dyDescent="0.2"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59"/>
      <c r="O379" s="45"/>
      <c r="P379" s="45"/>
      <c r="Q379" s="45"/>
      <c r="R379" s="45"/>
    </row>
    <row r="380" spans="2:18" x14ac:dyDescent="0.2"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59"/>
      <c r="O380" s="45"/>
      <c r="P380" s="45"/>
      <c r="Q380" s="45"/>
      <c r="R380" s="45"/>
    </row>
    <row r="381" spans="2:18" x14ac:dyDescent="0.2"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59"/>
      <c r="O381" s="45"/>
      <c r="P381" s="45"/>
      <c r="Q381" s="45"/>
      <c r="R381" s="45"/>
    </row>
    <row r="382" spans="2:18" x14ac:dyDescent="0.2"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59"/>
      <c r="O382" s="45"/>
      <c r="P382" s="45"/>
      <c r="Q382" s="45"/>
      <c r="R382" s="45"/>
    </row>
    <row r="383" spans="2:18" x14ac:dyDescent="0.2"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59"/>
      <c r="O383" s="45"/>
      <c r="P383" s="45"/>
      <c r="Q383" s="45"/>
      <c r="R383" s="45"/>
    </row>
    <row r="384" spans="2:18" x14ac:dyDescent="0.2"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59"/>
      <c r="O384" s="45"/>
      <c r="P384" s="45"/>
      <c r="Q384" s="45"/>
      <c r="R384" s="45"/>
    </row>
    <row r="385" spans="2:18" x14ac:dyDescent="0.2"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59"/>
      <c r="O385" s="45"/>
      <c r="P385" s="45"/>
      <c r="Q385" s="45"/>
      <c r="R385" s="45"/>
    </row>
    <row r="386" spans="2:18" x14ac:dyDescent="0.2"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59"/>
      <c r="O386" s="45"/>
      <c r="P386" s="45"/>
      <c r="Q386" s="45"/>
      <c r="R386" s="45"/>
    </row>
    <row r="387" spans="2:18" x14ac:dyDescent="0.2"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59"/>
      <c r="O387" s="45"/>
      <c r="P387" s="45"/>
      <c r="Q387" s="45"/>
      <c r="R387" s="45"/>
    </row>
    <row r="388" spans="2:18" x14ac:dyDescent="0.2"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59"/>
      <c r="O388" s="45"/>
      <c r="P388" s="45"/>
      <c r="Q388" s="45"/>
      <c r="R388" s="45"/>
    </row>
    <row r="389" spans="2:18" x14ac:dyDescent="0.2"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59"/>
      <c r="O389" s="45"/>
      <c r="P389" s="45"/>
      <c r="Q389" s="45"/>
      <c r="R389" s="45"/>
    </row>
    <row r="390" spans="2:18" x14ac:dyDescent="0.2"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59"/>
      <c r="O390" s="45"/>
      <c r="P390" s="45"/>
      <c r="Q390" s="45"/>
      <c r="R390" s="45"/>
    </row>
    <row r="391" spans="2:18" x14ac:dyDescent="0.2"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59"/>
      <c r="O391" s="45"/>
      <c r="P391" s="45"/>
      <c r="Q391" s="45"/>
      <c r="R391" s="45"/>
    </row>
    <row r="392" spans="2:18" x14ac:dyDescent="0.2"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59"/>
      <c r="O392" s="45"/>
      <c r="P392" s="45"/>
      <c r="Q392" s="45"/>
      <c r="R392" s="45"/>
    </row>
    <row r="393" spans="2:18" x14ac:dyDescent="0.2"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59"/>
      <c r="O393" s="45"/>
      <c r="P393" s="45"/>
      <c r="Q393" s="45"/>
      <c r="R393" s="45"/>
    </row>
    <row r="394" spans="2:18" x14ac:dyDescent="0.2"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59"/>
      <c r="O394" s="45"/>
      <c r="P394" s="45"/>
      <c r="Q394" s="45"/>
      <c r="R394" s="45"/>
    </row>
    <row r="395" spans="2:18" x14ac:dyDescent="0.2"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59"/>
      <c r="O395" s="45"/>
      <c r="P395" s="45"/>
      <c r="Q395" s="45"/>
      <c r="R395" s="45"/>
    </row>
    <row r="396" spans="2:18" x14ac:dyDescent="0.2"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59"/>
      <c r="O396" s="45"/>
      <c r="P396" s="45"/>
      <c r="Q396" s="45"/>
      <c r="R396" s="45"/>
    </row>
    <row r="397" spans="2:18" x14ac:dyDescent="0.2"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59"/>
      <c r="O397" s="45"/>
      <c r="P397" s="45"/>
      <c r="Q397" s="45"/>
      <c r="R397" s="45"/>
    </row>
    <row r="398" spans="2:18" x14ac:dyDescent="0.2"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59"/>
      <c r="O398" s="45"/>
      <c r="P398" s="45"/>
      <c r="Q398" s="45"/>
      <c r="R398" s="45"/>
    </row>
    <row r="399" spans="2:18" x14ac:dyDescent="0.2"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59"/>
      <c r="O399" s="45"/>
      <c r="P399" s="45"/>
      <c r="Q399" s="45"/>
      <c r="R399" s="45"/>
    </row>
    <row r="400" spans="2:18" x14ac:dyDescent="0.2"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59"/>
      <c r="O400" s="45"/>
      <c r="P400" s="45"/>
      <c r="Q400" s="45"/>
      <c r="R400" s="45"/>
    </row>
    <row r="401" spans="2:18" x14ac:dyDescent="0.2"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59"/>
      <c r="O401" s="45"/>
      <c r="P401" s="45"/>
      <c r="Q401" s="45"/>
      <c r="R401" s="45"/>
    </row>
    <row r="402" spans="2:18" x14ac:dyDescent="0.2"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59"/>
      <c r="O402" s="45"/>
      <c r="P402" s="45"/>
      <c r="Q402" s="45"/>
      <c r="R402" s="45"/>
    </row>
    <row r="403" spans="2:18" x14ac:dyDescent="0.2"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59"/>
      <c r="O403" s="45"/>
      <c r="P403" s="45"/>
      <c r="Q403" s="45"/>
      <c r="R403" s="45"/>
    </row>
    <row r="404" spans="2:18" x14ac:dyDescent="0.2"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59"/>
      <c r="O404" s="45"/>
      <c r="P404" s="45"/>
      <c r="Q404" s="45"/>
      <c r="R404" s="45"/>
    </row>
    <row r="405" spans="2:18" x14ac:dyDescent="0.2"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59"/>
      <c r="O405" s="45"/>
      <c r="P405" s="45"/>
      <c r="Q405" s="45"/>
      <c r="R405" s="45"/>
    </row>
    <row r="406" spans="2:18" x14ac:dyDescent="0.2"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59"/>
      <c r="O406" s="45"/>
      <c r="P406" s="45"/>
      <c r="Q406" s="45"/>
      <c r="R406" s="45"/>
    </row>
    <row r="407" spans="2:18" x14ac:dyDescent="0.2"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59"/>
      <c r="O407" s="45"/>
      <c r="P407" s="45"/>
      <c r="Q407" s="45"/>
      <c r="R407" s="45"/>
    </row>
    <row r="408" spans="2:18" x14ac:dyDescent="0.2"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59"/>
      <c r="O408" s="45"/>
      <c r="P408" s="45"/>
      <c r="Q408" s="45"/>
      <c r="R408" s="45"/>
    </row>
    <row r="409" spans="2:18" x14ac:dyDescent="0.2"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59"/>
      <c r="O409" s="45"/>
      <c r="P409" s="45"/>
      <c r="Q409" s="45"/>
      <c r="R409" s="45"/>
    </row>
    <row r="410" spans="2:18" x14ac:dyDescent="0.2"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59"/>
      <c r="O410" s="45"/>
      <c r="P410" s="45"/>
      <c r="Q410" s="45"/>
      <c r="R410" s="45"/>
    </row>
    <row r="411" spans="2:18" x14ac:dyDescent="0.2"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59"/>
      <c r="O411" s="45"/>
      <c r="P411" s="45"/>
      <c r="Q411" s="45"/>
      <c r="R411" s="45"/>
    </row>
    <row r="412" spans="2:18" x14ac:dyDescent="0.2"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59"/>
      <c r="O412" s="45"/>
      <c r="P412" s="45"/>
      <c r="Q412" s="45"/>
      <c r="R412" s="45"/>
    </row>
    <row r="413" spans="2:18" x14ac:dyDescent="0.2"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59"/>
      <c r="O413" s="45"/>
      <c r="P413" s="45"/>
      <c r="Q413" s="45"/>
      <c r="R413" s="45"/>
    </row>
    <row r="414" spans="2:18" x14ac:dyDescent="0.2"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59"/>
      <c r="O414" s="45"/>
      <c r="P414" s="45"/>
      <c r="Q414" s="45"/>
      <c r="R414" s="45"/>
    </row>
    <row r="415" spans="2:18" x14ac:dyDescent="0.2"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59"/>
      <c r="O415" s="45"/>
      <c r="P415" s="45"/>
      <c r="Q415" s="45"/>
      <c r="R415" s="45"/>
    </row>
    <row r="416" spans="2:18" x14ac:dyDescent="0.2"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59"/>
      <c r="O416" s="45"/>
      <c r="P416" s="45"/>
      <c r="Q416" s="45"/>
      <c r="R416" s="45"/>
    </row>
    <row r="417" spans="2:18" x14ac:dyDescent="0.2"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59"/>
      <c r="O417" s="45"/>
      <c r="P417" s="45"/>
      <c r="Q417" s="45"/>
      <c r="R417" s="45"/>
    </row>
    <row r="418" spans="2:18" x14ac:dyDescent="0.2"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59"/>
      <c r="O418" s="45"/>
      <c r="P418" s="45"/>
      <c r="Q418" s="45"/>
      <c r="R418" s="45"/>
    </row>
    <row r="419" spans="2:18" x14ac:dyDescent="0.2"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59"/>
      <c r="O419" s="45"/>
      <c r="P419" s="45"/>
      <c r="Q419" s="45"/>
      <c r="R419" s="45"/>
    </row>
    <row r="420" spans="2:18" x14ac:dyDescent="0.2"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59"/>
      <c r="O420" s="45"/>
      <c r="P420" s="45"/>
      <c r="Q420" s="45"/>
      <c r="R420" s="45"/>
    </row>
    <row r="421" spans="2:18" x14ac:dyDescent="0.2"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59"/>
      <c r="O421" s="45"/>
      <c r="P421" s="45"/>
      <c r="Q421" s="45"/>
      <c r="R421" s="45"/>
    </row>
    <row r="422" spans="2:18" x14ac:dyDescent="0.2"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59"/>
      <c r="O422" s="45"/>
      <c r="P422" s="45"/>
      <c r="Q422" s="45"/>
      <c r="R422" s="45"/>
    </row>
    <row r="423" spans="2:18" x14ac:dyDescent="0.2"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59"/>
      <c r="O423" s="45"/>
      <c r="P423" s="45"/>
      <c r="Q423" s="45"/>
      <c r="R423" s="45"/>
    </row>
    <row r="424" spans="2:18" x14ac:dyDescent="0.2"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59"/>
      <c r="O424" s="45"/>
      <c r="P424" s="45"/>
      <c r="Q424" s="45"/>
      <c r="R424" s="45"/>
    </row>
    <row r="425" spans="2:18" x14ac:dyDescent="0.2">
      <c r="J425" s="45"/>
      <c r="K425" s="45"/>
      <c r="L425" s="45"/>
      <c r="M425" s="45"/>
    </row>
  </sheetData>
  <mergeCells count="11">
    <mergeCell ref="C48:D48"/>
    <mergeCell ref="J1:M1"/>
    <mergeCell ref="B4:O4"/>
    <mergeCell ref="B6:O6"/>
    <mergeCell ref="L52:M52"/>
    <mergeCell ref="C49:D49"/>
    <mergeCell ref="L49:M49"/>
    <mergeCell ref="C50:D50"/>
    <mergeCell ref="L50:M50"/>
    <mergeCell ref="C51:D51"/>
    <mergeCell ref="L51:M5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opLeftCell="A94" workbookViewId="0">
      <selection activeCell="D23" sqref="D23"/>
    </sheetView>
  </sheetViews>
  <sheetFormatPr baseColWidth="10" defaultRowHeight="12.75" x14ac:dyDescent="0.2"/>
  <cols>
    <col min="1" max="1" width="7" customWidth="1"/>
    <col min="3" max="3" width="35.85546875" customWidth="1"/>
    <col min="4" max="4" width="14.5703125" customWidth="1"/>
    <col min="5" max="5" width="12.28515625" bestFit="1" customWidth="1"/>
    <col min="6" max="6" width="12.5703125" bestFit="1" customWidth="1"/>
    <col min="7" max="7" width="12.7109375" customWidth="1"/>
  </cols>
  <sheetData>
    <row r="1" spans="1:9" x14ac:dyDescent="0.2">
      <c r="B1" s="107" t="s">
        <v>90</v>
      </c>
      <c r="C1" s="108"/>
      <c r="D1" s="107" t="str">
        <f>'[1]ESTADO DE RESULTADOS'!B1</f>
        <v>POWER &amp; WORK TRANSPORTES S.R.L.</v>
      </c>
      <c r="E1" s="108"/>
      <c r="F1" s="109"/>
      <c r="G1" s="109"/>
    </row>
    <row r="2" spans="1:9" x14ac:dyDescent="0.2">
      <c r="B2" s="107" t="s">
        <v>91</v>
      </c>
      <c r="C2" s="108"/>
      <c r="D2" s="250">
        <f>[1]activos2007!D3</f>
        <v>20506216932</v>
      </c>
      <c r="E2" s="250"/>
      <c r="F2" s="109"/>
      <c r="G2" s="109"/>
    </row>
    <row r="3" spans="1:9" x14ac:dyDescent="0.2">
      <c r="B3" s="109"/>
      <c r="C3" s="110"/>
      <c r="D3" s="110"/>
      <c r="E3" s="109"/>
      <c r="F3" s="110"/>
      <c r="G3" s="109"/>
    </row>
    <row r="4" spans="1:9" ht="12.75" customHeight="1" x14ac:dyDescent="0.2">
      <c r="B4" s="251" t="s">
        <v>92</v>
      </c>
      <c r="C4" s="251"/>
      <c r="D4" s="251"/>
      <c r="E4" s="251"/>
      <c r="F4" s="251"/>
      <c r="G4" s="251"/>
      <c r="H4" s="251"/>
      <c r="I4" s="251"/>
    </row>
    <row r="5" spans="1:9" ht="12.75" customHeight="1" x14ac:dyDescent="0.2">
      <c r="B5" s="251"/>
      <c r="C5" s="251"/>
      <c r="D5" s="251"/>
      <c r="E5" s="251"/>
      <c r="F5" s="251"/>
      <c r="G5" s="251"/>
      <c r="H5" s="251"/>
      <c r="I5" s="251"/>
    </row>
    <row r="8" spans="1:9" ht="13.5" customHeight="1" thickBot="1" x14ac:dyDescent="0.25"/>
    <row r="9" spans="1:9" ht="12.75" customHeight="1" x14ac:dyDescent="0.2">
      <c r="B9" s="140" t="s">
        <v>147</v>
      </c>
      <c r="C9" s="111" t="s">
        <v>93</v>
      </c>
      <c r="D9" s="111" t="s">
        <v>94</v>
      </c>
      <c r="E9" s="111" t="s">
        <v>94</v>
      </c>
      <c r="F9" s="111" t="s">
        <v>58</v>
      </c>
      <c r="G9" s="111" t="s">
        <v>95</v>
      </c>
      <c r="H9" s="112" t="s">
        <v>96</v>
      </c>
      <c r="I9" s="113" t="s">
        <v>97</v>
      </c>
    </row>
    <row r="10" spans="1:9" ht="13.5" thickBot="1" x14ac:dyDescent="0.25">
      <c r="B10" s="141">
        <v>2011</v>
      </c>
      <c r="C10" s="41"/>
      <c r="D10" s="114" t="s">
        <v>98</v>
      </c>
      <c r="E10" s="114" t="s">
        <v>99</v>
      </c>
      <c r="F10" s="41"/>
      <c r="G10" s="114" t="s">
        <v>58</v>
      </c>
      <c r="H10" s="115"/>
      <c r="I10" s="116"/>
    </row>
    <row r="11" spans="1:9" x14ac:dyDescent="0.2">
      <c r="A11" s="133">
        <v>41456</v>
      </c>
      <c r="B11" s="100">
        <v>1</v>
      </c>
      <c r="C11" s="104" t="s">
        <v>100</v>
      </c>
      <c r="D11" s="124">
        <v>131767.60999999999</v>
      </c>
      <c r="E11" s="124">
        <v>131767.60999999999</v>
      </c>
      <c r="F11" s="101"/>
      <c r="G11" s="101"/>
      <c r="H11" s="117"/>
      <c r="I11" s="102"/>
    </row>
    <row r="12" spans="1:9" x14ac:dyDescent="0.2">
      <c r="B12" s="100">
        <v>2</v>
      </c>
      <c r="C12" s="104" t="s">
        <v>101</v>
      </c>
      <c r="D12" s="124">
        <v>131767.60999999999</v>
      </c>
      <c r="E12" s="124">
        <v>131767.60999999999</v>
      </c>
      <c r="F12" s="138"/>
      <c r="G12" s="138"/>
      <c r="H12" s="117"/>
      <c r="I12" s="102"/>
    </row>
    <row r="13" spans="1:9" x14ac:dyDescent="0.2">
      <c r="B13" s="100">
        <v>3</v>
      </c>
      <c r="C13" s="104" t="s">
        <v>102</v>
      </c>
      <c r="D13" s="124">
        <v>131767.60999999999</v>
      </c>
      <c r="E13" s="124">
        <v>131767.60999999999</v>
      </c>
      <c r="F13" s="138">
        <f t="shared" ref="F13:F22" si="0">D12*0.2</f>
        <v>26353.521999999997</v>
      </c>
      <c r="G13" s="138">
        <f>F13/12</f>
        <v>2196.1268333333333</v>
      </c>
      <c r="H13" s="117"/>
      <c r="I13" s="102"/>
    </row>
    <row r="14" spans="1:9" x14ac:dyDescent="0.2">
      <c r="B14" s="100">
        <v>4</v>
      </c>
      <c r="C14" s="104" t="s">
        <v>103</v>
      </c>
      <c r="D14" s="124">
        <v>131767.60999999999</v>
      </c>
      <c r="E14" s="124">
        <v>131767.60999999999</v>
      </c>
      <c r="F14" s="138">
        <f t="shared" si="0"/>
        <v>26353.521999999997</v>
      </c>
      <c r="G14" s="138">
        <f t="shared" ref="G14:G22" si="1">F14/12</f>
        <v>2196.1268333333333</v>
      </c>
      <c r="H14" s="117"/>
      <c r="I14" s="102"/>
    </row>
    <row r="15" spans="1:9" x14ac:dyDescent="0.2">
      <c r="B15" s="100">
        <v>5</v>
      </c>
      <c r="C15" s="104" t="s">
        <v>104</v>
      </c>
      <c r="D15" s="124">
        <v>131767.60999999999</v>
      </c>
      <c r="E15" s="124">
        <v>131767.60999999999</v>
      </c>
      <c r="F15" s="138">
        <f t="shared" si="0"/>
        <v>26353.521999999997</v>
      </c>
      <c r="G15" s="138">
        <f t="shared" si="1"/>
        <v>2196.1268333333333</v>
      </c>
      <c r="H15" s="117"/>
      <c r="I15" s="102"/>
    </row>
    <row r="16" spans="1:9" x14ac:dyDescent="0.2">
      <c r="B16" s="100">
        <v>6</v>
      </c>
      <c r="C16" s="104" t="s">
        <v>105</v>
      </c>
      <c r="D16" s="124">
        <v>50375.59</v>
      </c>
      <c r="E16" s="124">
        <v>50375.59</v>
      </c>
      <c r="F16" s="138">
        <f t="shared" si="0"/>
        <v>26353.521999999997</v>
      </c>
      <c r="G16" s="138">
        <f t="shared" si="1"/>
        <v>2196.1268333333333</v>
      </c>
      <c r="H16" s="117"/>
      <c r="I16" s="102"/>
    </row>
    <row r="17" spans="2:9" x14ac:dyDescent="0.2">
      <c r="B17" s="100">
        <v>7</v>
      </c>
      <c r="C17" s="104" t="s">
        <v>106</v>
      </c>
      <c r="D17" s="124">
        <v>50375.59</v>
      </c>
      <c r="E17" s="124">
        <v>50375.59</v>
      </c>
      <c r="F17" s="138">
        <f t="shared" si="0"/>
        <v>10075.118</v>
      </c>
      <c r="G17" s="138">
        <f t="shared" si="1"/>
        <v>839.59316666666666</v>
      </c>
      <c r="H17" s="117"/>
      <c r="I17" s="102"/>
    </row>
    <row r="18" spans="2:9" x14ac:dyDescent="0.2">
      <c r="B18" s="100">
        <v>8</v>
      </c>
      <c r="C18" s="104" t="s">
        <v>107</v>
      </c>
      <c r="D18" s="124">
        <v>50375.59</v>
      </c>
      <c r="E18" s="124">
        <v>50375.59</v>
      </c>
      <c r="F18" s="138">
        <f t="shared" si="0"/>
        <v>10075.118</v>
      </c>
      <c r="G18" s="138">
        <f t="shared" si="1"/>
        <v>839.59316666666666</v>
      </c>
      <c r="H18" s="117"/>
      <c r="I18" s="102"/>
    </row>
    <row r="19" spans="2:9" x14ac:dyDescent="0.2">
      <c r="B19" s="100">
        <v>9</v>
      </c>
      <c r="C19" s="104" t="s">
        <v>108</v>
      </c>
      <c r="D19" s="124">
        <v>50375.59</v>
      </c>
      <c r="E19" s="124">
        <v>50375.59</v>
      </c>
      <c r="F19" s="138">
        <f t="shared" si="0"/>
        <v>10075.118</v>
      </c>
      <c r="G19" s="138">
        <f t="shared" si="1"/>
        <v>839.59316666666666</v>
      </c>
      <c r="H19" s="117"/>
      <c r="I19" s="102"/>
    </row>
    <row r="20" spans="2:9" x14ac:dyDescent="0.2">
      <c r="B20" s="100">
        <v>10</v>
      </c>
      <c r="C20" s="104" t="s">
        <v>109</v>
      </c>
      <c r="D20" s="124">
        <v>50375.59</v>
      </c>
      <c r="E20" s="124">
        <v>50375.59</v>
      </c>
      <c r="F20" s="138">
        <f t="shared" si="0"/>
        <v>10075.118</v>
      </c>
      <c r="G20" s="138">
        <f t="shared" si="1"/>
        <v>839.59316666666666</v>
      </c>
      <c r="H20" s="117"/>
      <c r="I20" s="102"/>
    </row>
    <row r="21" spans="2:9" x14ac:dyDescent="0.2">
      <c r="B21" s="100">
        <v>11</v>
      </c>
      <c r="C21" s="104" t="s">
        <v>110</v>
      </c>
      <c r="D21" s="124">
        <v>87861.7</v>
      </c>
      <c r="E21" s="124">
        <v>87861.7</v>
      </c>
      <c r="F21" s="138">
        <f t="shared" si="0"/>
        <v>10075.118</v>
      </c>
      <c r="G21" s="138">
        <f t="shared" si="1"/>
        <v>839.59316666666666</v>
      </c>
      <c r="H21" s="117"/>
      <c r="I21" s="102"/>
    </row>
    <row r="22" spans="2:9" x14ac:dyDescent="0.2">
      <c r="B22" s="100">
        <v>12</v>
      </c>
      <c r="C22" s="104" t="s">
        <v>111</v>
      </c>
      <c r="D22" s="105">
        <v>1327853.8</v>
      </c>
      <c r="E22" s="105">
        <v>1327853.8</v>
      </c>
      <c r="F22" s="138">
        <f t="shared" si="0"/>
        <v>17572.34</v>
      </c>
      <c r="G22" s="138">
        <f t="shared" si="1"/>
        <v>1464.3616666666667</v>
      </c>
      <c r="H22" s="117"/>
      <c r="I22" s="102"/>
    </row>
    <row r="23" spans="2:9" x14ac:dyDescent="0.2">
      <c r="B23" s="100">
        <v>13</v>
      </c>
      <c r="C23" s="104" t="s">
        <v>112</v>
      </c>
      <c r="D23" s="118">
        <v>594864</v>
      </c>
      <c r="E23" s="118">
        <v>594864</v>
      </c>
      <c r="F23" s="101"/>
      <c r="G23" s="101"/>
      <c r="H23" s="117"/>
      <c r="I23" s="102"/>
    </row>
    <row r="24" spans="2:9" ht="13.5" thickBot="1" x14ac:dyDescent="0.25">
      <c r="B24" s="100"/>
      <c r="C24" s="104"/>
      <c r="D24" s="139">
        <f>SUM(D11:D23)</f>
        <v>2921295.5</v>
      </c>
      <c r="E24" s="139">
        <f>SUM(E11:E23)</f>
        <v>2921295.5</v>
      </c>
      <c r="F24" s="101"/>
      <c r="G24" s="101"/>
      <c r="H24" s="117"/>
      <c r="I24" s="102"/>
    </row>
    <row r="25" spans="2:9" x14ac:dyDescent="0.2">
      <c r="B25" s="252">
        <v>41456</v>
      </c>
      <c r="C25" s="254" t="s">
        <v>71</v>
      </c>
      <c r="D25" s="119" t="s">
        <v>94</v>
      </c>
      <c r="E25" s="120" t="s">
        <v>94</v>
      </c>
      <c r="F25" s="101"/>
      <c r="G25" s="101"/>
      <c r="H25" s="117"/>
      <c r="I25" s="102"/>
    </row>
    <row r="26" spans="2:9" ht="13.5" thickBot="1" x14ac:dyDescent="0.25">
      <c r="B26" s="253"/>
      <c r="C26" s="255"/>
      <c r="D26" s="114" t="s">
        <v>98</v>
      </c>
      <c r="E26" s="121" t="s">
        <v>99</v>
      </c>
      <c r="F26" s="101"/>
      <c r="G26" s="101"/>
      <c r="H26" s="117"/>
      <c r="I26" s="102"/>
    </row>
    <row r="27" spans="2:9" x14ac:dyDescent="0.2">
      <c r="B27" s="100"/>
      <c r="C27" s="104" t="s">
        <v>113</v>
      </c>
      <c r="D27" s="122">
        <v>0.2</v>
      </c>
      <c r="E27" s="123">
        <v>0.25</v>
      </c>
      <c r="F27" s="101"/>
      <c r="G27" s="101"/>
      <c r="H27" s="117"/>
      <c r="I27" s="102"/>
    </row>
    <row r="28" spans="2:9" x14ac:dyDescent="0.2">
      <c r="B28" s="100">
        <v>1</v>
      </c>
      <c r="C28" s="104" t="s">
        <v>100</v>
      </c>
      <c r="D28" s="124">
        <f>D11*7/12*D27</f>
        <v>15372.887833333334</v>
      </c>
      <c r="E28" s="124">
        <f>E11*7/12*E27</f>
        <v>19216.109791666666</v>
      </c>
      <c r="F28" s="101"/>
      <c r="G28" s="101"/>
      <c r="H28" s="117"/>
      <c r="I28" s="102"/>
    </row>
    <row r="29" spans="2:9" x14ac:dyDescent="0.2">
      <c r="B29" s="100">
        <v>2</v>
      </c>
      <c r="C29" s="104" t="s">
        <v>101</v>
      </c>
      <c r="D29" s="124">
        <f>D12*7/12*D27</f>
        <v>15372.887833333334</v>
      </c>
      <c r="E29" s="124">
        <f>E12*7/12*E27</f>
        <v>19216.109791666666</v>
      </c>
      <c r="F29" s="106"/>
      <c r="G29" s="106"/>
      <c r="H29" s="137"/>
      <c r="I29" s="102"/>
    </row>
    <row r="30" spans="2:9" x14ac:dyDescent="0.2">
      <c r="B30" s="100">
        <v>3</v>
      </c>
      <c r="C30" s="104" t="s">
        <v>102</v>
      </c>
      <c r="D30" s="124">
        <f>D13*7/12*D27</f>
        <v>15372.887833333334</v>
      </c>
      <c r="E30" s="124">
        <f>E13*7/12*E27</f>
        <v>19216.109791666666</v>
      </c>
      <c r="F30" s="106"/>
      <c r="G30" s="101"/>
      <c r="H30" s="117"/>
      <c r="I30" s="102"/>
    </row>
    <row r="31" spans="2:9" x14ac:dyDescent="0.2">
      <c r="B31" s="100">
        <v>4</v>
      </c>
      <c r="C31" s="104" t="s">
        <v>103</v>
      </c>
      <c r="D31" s="124">
        <f>D14*7/12*D27</f>
        <v>15372.887833333334</v>
      </c>
      <c r="E31" s="124">
        <f>E14*7/12*E27</f>
        <v>19216.109791666666</v>
      </c>
      <c r="F31" s="101"/>
      <c r="G31" s="101"/>
      <c r="H31" s="117"/>
      <c r="I31" s="102"/>
    </row>
    <row r="32" spans="2:9" x14ac:dyDescent="0.2">
      <c r="B32" s="100">
        <v>5</v>
      </c>
      <c r="C32" s="104" t="s">
        <v>104</v>
      </c>
      <c r="D32" s="124">
        <f>D15*7/12*D27</f>
        <v>15372.887833333334</v>
      </c>
      <c r="E32" s="124">
        <f>E15*7/12*E27</f>
        <v>19216.109791666666</v>
      </c>
      <c r="F32" s="106"/>
      <c r="G32" s="101"/>
      <c r="H32" s="117"/>
      <c r="I32" s="102"/>
    </row>
    <row r="33" spans="2:9" x14ac:dyDescent="0.2">
      <c r="B33" s="100">
        <v>6</v>
      </c>
      <c r="C33" s="104" t="s">
        <v>105</v>
      </c>
      <c r="D33" s="124">
        <f>D16*7/12*D27</f>
        <v>5877.1521666666667</v>
      </c>
      <c r="E33" s="124">
        <f>E16*7/12*E27</f>
        <v>7346.4402083333334</v>
      </c>
      <c r="F33" s="106"/>
      <c r="G33" s="101"/>
      <c r="H33" s="117"/>
      <c r="I33" s="102"/>
    </row>
    <row r="34" spans="2:9" x14ac:dyDescent="0.2">
      <c r="B34" s="100">
        <v>7</v>
      </c>
      <c r="C34" s="104" t="s">
        <v>106</v>
      </c>
      <c r="D34" s="124">
        <f>D17*7/12*D27</f>
        <v>5877.1521666666667</v>
      </c>
      <c r="E34" s="124">
        <f>E17*7/12*E27</f>
        <v>7346.4402083333334</v>
      </c>
      <c r="F34" s="101"/>
      <c r="G34" s="101"/>
      <c r="H34" s="117"/>
      <c r="I34" s="102"/>
    </row>
    <row r="35" spans="2:9" x14ac:dyDescent="0.2">
      <c r="B35" s="100">
        <v>8</v>
      </c>
      <c r="C35" s="104" t="s">
        <v>107</v>
      </c>
      <c r="D35" s="124">
        <f>D18*7/12*D27</f>
        <v>5877.1521666666667</v>
      </c>
      <c r="E35" s="124">
        <f>E18*7/12*E27</f>
        <v>7346.4402083333334</v>
      </c>
      <c r="F35" s="101"/>
      <c r="G35" s="101"/>
      <c r="H35" s="117"/>
      <c r="I35" s="102"/>
    </row>
    <row r="36" spans="2:9" x14ac:dyDescent="0.2">
      <c r="B36" s="100">
        <v>9</v>
      </c>
      <c r="C36" s="104" t="s">
        <v>108</v>
      </c>
      <c r="D36" s="124">
        <f>D19*7/12*D27</f>
        <v>5877.1521666666667</v>
      </c>
      <c r="E36" s="124">
        <f>E19*7/12*E27</f>
        <v>7346.4402083333334</v>
      </c>
      <c r="F36" s="101"/>
      <c r="G36" s="101"/>
      <c r="H36" s="117"/>
      <c r="I36" s="102"/>
    </row>
    <row r="37" spans="2:9" x14ac:dyDescent="0.2">
      <c r="B37" s="100">
        <v>10</v>
      </c>
      <c r="C37" s="104" t="s">
        <v>109</v>
      </c>
      <c r="D37" s="124">
        <f>D20*7/12*D27</f>
        <v>5877.1521666666667</v>
      </c>
      <c r="E37" s="124">
        <f>E20*7/12*E27</f>
        <v>7346.4402083333334</v>
      </c>
      <c r="F37" s="101"/>
      <c r="G37" s="101"/>
      <c r="H37" s="117"/>
      <c r="I37" s="102"/>
    </row>
    <row r="38" spans="2:9" x14ac:dyDescent="0.2">
      <c r="B38" s="100">
        <v>11</v>
      </c>
      <c r="C38" s="104" t="s">
        <v>110</v>
      </c>
      <c r="D38" s="124">
        <f>D21*7/12*D27</f>
        <v>10250.531666666668</v>
      </c>
      <c r="E38" s="124">
        <f>E21*7/12*E27</f>
        <v>12813.164583333333</v>
      </c>
      <c r="F38" s="101"/>
      <c r="G38" s="101"/>
      <c r="H38" s="117"/>
      <c r="I38" s="102"/>
    </row>
    <row r="39" spans="2:9" x14ac:dyDescent="0.2">
      <c r="B39" s="100">
        <v>12</v>
      </c>
      <c r="C39" s="104" t="s">
        <v>111</v>
      </c>
      <c r="D39" s="124">
        <f>D22*7/12*D27</f>
        <v>154916.27666666667</v>
      </c>
      <c r="E39" s="124">
        <f>E22*7/12*E27</f>
        <v>193645.34583333333</v>
      </c>
      <c r="F39" s="106">
        <f>F41*2</f>
        <v>170408.90416666667</v>
      </c>
      <c r="G39" s="101"/>
      <c r="H39" s="117"/>
      <c r="I39" s="102"/>
    </row>
    <row r="40" spans="2:9" ht="13.5" thickBot="1" x14ac:dyDescent="0.25">
      <c r="B40" s="100">
        <v>13</v>
      </c>
      <c r="C40" s="104" t="s">
        <v>112</v>
      </c>
      <c r="D40" s="124">
        <f>D23*7/12*D27</f>
        <v>69400.800000000003</v>
      </c>
      <c r="E40" s="124">
        <f>E23*7/12*E27</f>
        <v>86751</v>
      </c>
      <c r="F40" s="101"/>
      <c r="G40" s="101"/>
      <c r="H40" s="117"/>
      <c r="I40" s="102"/>
    </row>
    <row r="41" spans="2:9" x14ac:dyDescent="0.2">
      <c r="B41" s="98"/>
      <c r="C41" s="99"/>
      <c r="D41" s="125">
        <f>SUM(D28:D40)</f>
        <v>340817.80833333335</v>
      </c>
      <c r="E41" s="125">
        <f>SUM(E28:E40)</f>
        <v>426022.26041666669</v>
      </c>
      <c r="F41" s="126">
        <f>E41-D41</f>
        <v>85204.452083333337</v>
      </c>
      <c r="G41" s="111"/>
      <c r="H41" s="112" t="s">
        <v>114</v>
      </c>
      <c r="I41" s="127"/>
    </row>
    <row r="42" spans="2:9" x14ac:dyDescent="0.2">
      <c r="B42" s="103"/>
      <c r="C42" s="104"/>
      <c r="D42" s="101"/>
      <c r="E42" s="101"/>
      <c r="F42" s="101"/>
      <c r="G42" s="101"/>
      <c r="H42" s="128" t="s">
        <v>115</v>
      </c>
      <c r="I42" s="102"/>
    </row>
    <row r="43" spans="2:9" ht="13.5" thickBot="1" x14ac:dyDescent="0.25">
      <c r="B43" s="129" t="s">
        <v>119</v>
      </c>
      <c r="C43" s="130" t="s">
        <v>116</v>
      </c>
      <c r="D43" s="131">
        <f>D24-D41</f>
        <v>2580477.6916666664</v>
      </c>
      <c r="E43" s="131">
        <f>E24-E41</f>
        <v>2495273.2395833335</v>
      </c>
      <c r="F43" s="131">
        <f>D43-E43</f>
        <v>85204.45208333293</v>
      </c>
      <c r="G43" s="114" t="s">
        <v>117</v>
      </c>
      <c r="H43" s="115" t="s">
        <v>118</v>
      </c>
      <c r="I43" s="132">
        <f>F43*30%</f>
        <v>25561.33562499988</v>
      </c>
    </row>
    <row r="44" spans="2:9" s="84" customFormat="1" x14ac:dyDescent="0.2"/>
    <row r="45" spans="2:9" s="84" customFormat="1" x14ac:dyDescent="0.2"/>
    <row r="46" spans="2:9" s="84" customFormat="1" ht="13.5" thickBot="1" x14ac:dyDescent="0.25"/>
    <row r="47" spans="2:9" ht="12.75" customHeight="1" x14ac:dyDescent="0.2">
      <c r="B47" s="140" t="s">
        <v>147</v>
      </c>
      <c r="C47" s="111" t="s">
        <v>93</v>
      </c>
      <c r="D47" s="111" t="s">
        <v>94</v>
      </c>
      <c r="E47" s="111" t="s">
        <v>94</v>
      </c>
      <c r="F47" s="111" t="s">
        <v>58</v>
      </c>
      <c r="G47" s="111" t="s">
        <v>95</v>
      </c>
      <c r="H47" s="112" t="s">
        <v>96</v>
      </c>
      <c r="I47" s="113" t="s">
        <v>97</v>
      </c>
    </row>
    <row r="48" spans="2:9" ht="13.5" thickBot="1" x14ac:dyDescent="0.25">
      <c r="B48" s="141">
        <v>2012</v>
      </c>
      <c r="C48" s="41"/>
      <c r="D48" s="114" t="s">
        <v>98</v>
      </c>
      <c r="E48" s="114" t="s">
        <v>99</v>
      </c>
      <c r="F48" s="41"/>
      <c r="G48" s="114" t="s">
        <v>58</v>
      </c>
      <c r="H48" s="115"/>
      <c r="I48" s="116"/>
    </row>
    <row r="49" spans="1:9" x14ac:dyDescent="0.2">
      <c r="A49" s="133">
        <v>41456</v>
      </c>
      <c r="B49" s="100"/>
      <c r="C49" s="104"/>
      <c r="D49" s="124"/>
      <c r="E49" s="124"/>
      <c r="F49" s="101"/>
      <c r="G49" s="101"/>
      <c r="H49" s="117"/>
      <c r="I49" s="102"/>
    </row>
    <row r="50" spans="1:9" x14ac:dyDescent="0.2">
      <c r="B50" s="100"/>
      <c r="C50" s="104"/>
      <c r="D50" s="124"/>
      <c r="E50" s="124"/>
      <c r="F50" s="138"/>
      <c r="G50" s="138"/>
      <c r="H50" s="117"/>
      <c r="I50" s="102"/>
    </row>
    <row r="51" spans="1:9" x14ac:dyDescent="0.2">
      <c r="A51" s="135">
        <v>1</v>
      </c>
      <c r="B51" s="144" t="s">
        <v>136</v>
      </c>
      <c r="C51" s="145" t="s">
        <v>137</v>
      </c>
      <c r="D51" s="146">
        <v>256249.34</v>
      </c>
      <c r="E51" s="146">
        <v>256249.34</v>
      </c>
      <c r="F51" s="138"/>
      <c r="G51" s="138"/>
      <c r="H51" s="117"/>
      <c r="I51" s="102"/>
    </row>
    <row r="52" spans="1:9" x14ac:dyDescent="0.2">
      <c r="A52" s="135">
        <v>2</v>
      </c>
      <c r="B52" s="144" t="s">
        <v>138</v>
      </c>
      <c r="C52" s="145" t="s">
        <v>139</v>
      </c>
      <c r="D52" s="146">
        <v>256249.34</v>
      </c>
      <c r="E52" s="146">
        <v>256249.34</v>
      </c>
      <c r="F52" s="138"/>
      <c r="G52" s="138"/>
      <c r="H52" s="117"/>
      <c r="I52" s="102"/>
    </row>
    <row r="53" spans="1:9" x14ac:dyDescent="0.2">
      <c r="A53" s="135">
        <v>3</v>
      </c>
      <c r="B53" s="144" t="s">
        <v>140</v>
      </c>
      <c r="C53" s="145" t="s">
        <v>141</v>
      </c>
      <c r="D53" s="146">
        <v>248917.05</v>
      </c>
      <c r="E53" s="146">
        <v>248917.05</v>
      </c>
      <c r="F53" s="138"/>
      <c r="G53" s="138"/>
      <c r="H53" s="117"/>
      <c r="I53" s="102"/>
    </row>
    <row r="54" spans="1:9" x14ac:dyDescent="0.2">
      <c r="A54" s="135">
        <v>4</v>
      </c>
      <c r="B54" s="144" t="s">
        <v>142</v>
      </c>
      <c r="C54" s="145" t="s">
        <v>143</v>
      </c>
      <c r="D54" s="146">
        <v>248917.05</v>
      </c>
      <c r="E54" s="146">
        <v>248917.05</v>
      </c>
      <c r="F54" s="138"/>
      <c r="G54" s="138"/>
      <c r="H54" s="117"/>
      <c r="I54" s="102"/>
    </row>
    <row r="55" spans="1:9" x14ac:dyDescent="0.2">
      <c r="A55" s="135">
        <v>5</v>
      </c>
      <c r="B55" s="144" t="s">
        <v>144</v>
      </c>
      <c r="C55" s="145" t="s">
        <v>145</v>
      </c>
      <c r="D55" s="146">
        <v>497273</v>
      </c>
      <c r="E55" s="146">
        <v>497273</v>
      </c>
      <c r="F55" s="138"/>
      <c r="G55" s="138"/>
      <c r="H55" s="117"/>
      <c r="I55" s="102"/>
    </row>
    <row r="56" spans="1:9" x14ac:dyDescent="0.2">
      <c r="A56" s="135">
        <v>6</v>
      </c>
      <c r="B56" s="144" t="s">
        <v>120</v>
      </c>
      <c r="C56" s="145" t="s">
        <v>146</v>
      </c>
      <c r="D56" s="146">
        <v>1235995.75</v>
      </c>
      <c r="E56" s="146">
        <v>1235995.75</v>
      </c>
      <c r="F56" s="138"/>
      <c r="G56" s="138"/>
      <c r="H56" s="117"/>
      <c r="I56" s="102"/>
    </row>
    <row r="57" spans="1:9" x14ac:dyDescent="0.2">
      <c r="A57" s="135">
        <v>7</v>
      </c>
      <c r="B57" s="144" t="s">
        <v>124</v>
      </c>
      <c r="C57" s="145" t="s">
        <v>125</v>
      </c>
      <c r="D57" s="142">
        <v>33877.14</v>
      </c>
      <c r="E57" s="142">
        <v>33877.14</v>
      </c>
      <c r="F57" s="138"/>
      <c r="G57" s="138"/>
      <c r="H57" s="117"/>
      <c r="I57" s="102"/>
    </row>
    <row r="58" spans="1:9" ht="13.5" thickBot="1" x14ac:dyDescent="0.25">
      <c r="B58" s="100"/>
      <c r="C58" s="104"/>
      <c r="D58" s="139">
        <f>SUM(D49:D57)</f>
        <v>2777478.6700000004</v>
      </c>
      <c r="E58" s="139">
        <f>SUM(E49:E57)</f>
        <v>2777478.6700000004</v>
      </c>
      <c r="F58" s="101"/>
      <c r="G58" s="101"/>
      <c r="H58" s="117"/>
      <c r="I58" s="102"/>
    </row>
    <row r="59" spans="1:9" x14ac:dyDescent="0.2">
      <c r="B59" s="252">
        <v>41456</v>
      </c>
      <c r="C59" s="254" t="s">
        <v>71</v>
      </c>
      <c r="D59" s="119" t="s">
        <v>94</v>
      </c>
      <c r="E59" s="120" t="s">
        <v>94</v>
      </c>
      <c r="F59" s="101"/>
      <c r="G59" s="101"/>
      <c r="H59" s="117"/>
      <c r="I59" s="102"/>
    </row>
    <row r="60" spans="1:9" ht="13.5" thickBot="1" x14ac:dyDescent="0.25">
      <c r="B60" s="253"/>
      <c r="C60" s="255"/>
      <c r="D60" s="114" t="s">
        <v>98</v>
      </c>
      <c r="E60" s="121" t="s">
        <v>99</v>
      </c>
      <c r="F60" s="101"/>
      <c r="G60" s="101"/>
      <c r="H60" s="117"/>
      <c r="I60" s="102"/>
    </row>
    <row r="61" spans="1:9" x14ac:dyDescent="0.2">
      <c r="B61" s="100"/>
      <c r="C61" s="104" t="s">
        <v>113</v>
      </c>
      <c r="D61" s="122">
        <v>0.2</v>
      </c>
      <c r="E61" s="123">
        <v>0.25</v>
      </c>
      <c r="F61" s="101"/>
      <c r="G61" s="101"/>
      <c r="H61" s="117"/>
      <c r="I61" s="102"/>
    </row>
    <row r="62" spans="1:9" x14ac:dyDescent="0.2">
      <c r="A62" s="135">
        <v>1</v>
      </c>
      <c r="B62" s="144" t="s">
        <v>136</v>
      </c>
      <c r="C62" s="145" t="s">
        <v>137</v>
      </c>
      <c r="D62" s="124">
        <f>D51*7/12*D61</f>
        <v>29895.756333333331</v>
      </c>
      <c r="E62" s="124">
        <f>E51*7/12*E61</f>
        <v>37369.695416666662</v>
      </c>
      <c r="F62" s="138"/>
      <c r="G62" s="138"/>
      <c r="H62" s="117"/>
      <c r="I62" s="102"/>
    </row>
    <row r="63" spans="1:9" x14ac:dyDescent="0.2">
      <c r="A63" s="135">
        <v>2</v>
      </c>
      <c r="B63" s="144" t="s">
        <v>138</v>
      </c>
      <c r="C63" s="145" t="s">
        <v>139</v>
      </c>
      <c r="D63" s="124">
        <f>D52*7/12*D61</f>
        <v>29895.756333333331</v>
      </c>
      <c r="E63" s="124">
        <f>E52*7/12*E61</f>
        <v>37369.695416666662</v>
      </c>
      <c r="F63" s="138"/>
      <c r="G63" s="138"/>
      <c r="H63" s="117"/>
      <c r="I63" s="102"/>
    </row>
    <row r="64" spans="1:9" x14ac:dyDescent="0.2">
      <c r="A64" s="135">
        <v>3</v>
      </c>
      <c r="B64" s="144" t="s">
        <v>140</v>
      </c>
      <c r="C64" s="145" t="s">
        <v>141</v>
      </c>
      <c r="D64" s="124">
        <f>D53*7/12*D61</f>
        <v>29040.322499999998</v>
      </c>
      <c r="E64" s="124">
        <f>E53*7/12*E61</f>
        <v>36300.403124999997</v>
      </c>
      <c r="F64" s="138"/>
      <c r="G64" s="138"/>
      <c r="H64" s="117"/>
      <c r="I64" s="102"/>
    </row>
    <row r="65" spans="1:9" x14ac:dyDescent="0.2">
      <c r="A65" s="135">
        <v>4</v>
      </c>
      <c r="B65" s="144" t="s">
        <v>142</v>
      </c>
      <c r="C65" s="145" t="s">
        <v>143</v>
      </c>
      <c r="D65" s="124">
        <f>D54*7/12*D61</f>
        <v>29040.322499999998</v>
      </c>
      <c r="E65" s="124">
        <f>E54*7/12*E61</f>
        <v>36300.403124999997</v>
      </c>
      <c r="F65" s="138"/>
      <c r="G65" s="138"/>
      <c r="H65" s="117"/>
      <c r="I65" s="102"/>
    </row>
    <row r="66" spans="1:9" x14ac:dyDescent="0.2">
      <c r="A66" s="135">
        <v>5</v>
      </c>
      <c r="B66" s="144" t="s">
        <v>144</v>
      </c>
      <c r="C66" s="145" t="s">
        <v>145</v>
      </c>
      <c r="D66" s="124">
        <f>D55*7/12*D61</f>
        <v>58015.183333333342</v>
      </c>
      <c r="E66" s="124">
        <f>E55*7/12*E61</f>
        <v>72518.979166666672</v>
      </c>
      <c r="F66" s="138"/>
      <c r="G66" s="138"/>
      <c r="H66" s="117"/>
      <c r="I66" s="102"/>
    </row>
    <row r="67" spans="1:9" x14ac:dyDescent="0.2">
      <c r="A67" s="135">
        <v>6</v>
      </c>
      <c r="B67" s="144" t="s">
        <v>120</v>
      </c>
      <c r="C67" s="145" t="s">
        <v>146</v>
      </c>
      <c r="D67" s="124">
        <f>D56*7/12*D61</f>
        <v>144199.50416666668</v>
      </c>
      <c r="E67" s="124">
        <f>E56*7/12*E61</f>
        <v>180249.38020833334</v>
      </c>
      <c r="F67" s="138">
        <f>F69*2</f>
        <v>162019.5890833335</v>
      </c>
      <c r="G67" s="138"/>
      <c r="H67" s="117"/>
      <c r="I67" s="102"/>
    </row>
    <row r="68" spans="1:9" ht="13.5" thickBot="1" x14ac:dyDescent="0.25">
      <c r="A68" s="135">
        <v>7</v>
      </c>
      <c r="B68" s="144" t="s">
        <v>124</v>
      </c>
      <c r="C68" s="145" t="s">
        <v>125</v>
      </c>
      <c r="D68" s="143">
        <f>D57*7/12*D61</f>
        <v>3952.3329999999996</v>
      </c>
      <c r="E68" s="143">
        <f>E57*7/12*E61</f>
        <v>4940.4162499999993</v>
      </c>
      <c r="F68" s="138"/>
      <c r="G68" s="138"/>
      <c r="H68" s="117"/>
      <c r="I68" s="102"/>
    </row>
    <row r="69" spans="1:9" x14ac:dyDescent="0.2">
      <c r="B69" s="98"/>
      <c r="C69" s="99"/>
      <c r="D69" s="125">
        <f>SUM(D62:D68)</f>
        <v>324039.17816666665</v>
      </c>
      <c r="E69" s="125">
        <f>SUM(E62:E68)</f>
        <v>405048.9727083334</v>
      </c>
      <c r="F69" s="126">
        <f>E69-D69</f>
        <v>81009.79454166675</v>
      </c>
      <c r="G69" s="111"/>
      <c r="H69" s="112" t="s">
        <v>114</v>
      </c>
      <c r="I69" s="127"/>
    </row>
    <row r="70" spans="1:9" x14ac:dyDescent="0.2">
      <c r="B70" s="103"/>
      <c r="C70" s="104"/>
      <c r="D70" s="101"/>
      <c r="E70" s="101"/>
      <c r="F70" s="101"/>
      <c r="G70" s="101"/>
      <c r="H70" s="128" t="s">
        <v>115</v>
      </c>
      <c r="I70" s="102"/>
    </row>
    <row r="71" spans="1:9" ht="13.5" thickBot="1" x14ac:dyDescent="0.25">
      <c r="B71" s="129" t="s">
        <v>119</v>
      </c>
      <c r="C71" s="130" t="s">
        <v>116</v>
      </c>
      <c r="D71" s="131">
        <f>D58-D69</f>
        <v>2453439.4918333339</v>
      </c>
      <c r="E71" s="131">
        <f>E58-E69</f>
        <v>2372429.6972916671</v>
      </c>
      <c r="F71" s="131">
        <f>D71-E71</f>
        <v>81009.79454166675</v>
      </c>
      <c r="G71" s="114" t="s">
        <v>117</v>
      </c>
      <c r="H71" s="115" t="s">
        <v>118</v>
      </c>
      <c r="I71" s="132">
        <f>F71*30%</f>
        <v>24302.938362500023</v>
      </c>
    </row>
    <row r="72" spans="1:9" s="84" customFormat="1" x14ac:dyDescent="0.2"/>
    <row r="73" spans="1:9" s="84" customFormat="1" x14ac:dyDescent="0.2"/>
    <row r="74" spans="1:9" s="84" customFormat="1" x14ac:dyDescent="0.2"/>
    <row r="75" spans="1:9" s="84" customFormat="1" ht="13.5" thickBot="1" x14ac:dyDescent="0.25"/>
    <row r="76" spans="1:9" ht="12.75" customHeight="1" thickBot="1" x14ac:dyDescent="0.25">
      <c r="B76" s="140" t="s">
        <v>147</v>
      </c>
      <c r="C76" s="111" t="s">
        <v>93</v>
      </c>
      <c r="D76" s="111" t="s">
        <v>94</v>
      </c>
      <c r="E76" s="111" t="s">
        <v>94</v>
      </c>
      <c r="F76" s="111" t="s">
        <v>58</v>
      </c>
      <c r="G76" s="111" t="s">
        <v>95</v>
      </c>
      <c r="H76" s="112" t="s">
        <v>96</v>
      </c>
      <c r="I76" s="150" t="s">
        <v>97</v>
      </c>
    </row>
    <row r="77" spans="1:9" ht="13.5" thickBot="1" x14ac:dyDescent="0.25">
      <c r="B77" s="141">
        <v>2013</v>
      </c>
      <c r="C77" s="41"/>
      <c r="D77" s="114" t="s">
        <v>98</v>
      </c>
      <c r="E77" s="114" t="s">
        <v>99</v>
      </c>
      <c r="F77" s="41"/>
      <c r="G77" s="114" t="s">
        <v>58</v>
      </c>
      <c r="H77" s="147"/>
      <c r="I77" s="151"/>
    </row>
    <row r="78" spans="1:9" s="134" customFormat="1" ht="19.5" customHeight="1" x14ac:dyDescent="0.2">
      <c r="A78" s="134">
        <v>1</v>
      </c>
      <c r="B78" s="155" t="s">
        <v>120</v>
      </c>
      <c r="C78" s="145" t="s">
        <v>121</v>
      </c>
      <c r="D78" s="156">
        <v>332338.98</v>
      </c>
      <c r="E78" s="156">
        <v>332338.98</v>
      </c>
      <c r="H78" s="148"/>
      <c r="I78" s="152"/>
    </row>
    <row r="79" spans="1:9" s="134" customFormat="1" x14ac:dyDescent="0.2">
      <c r="A79" s="134">
        <v>2</v>
      </c>
      <c r="B79" s="155" t="s">
        <v>122</v>
      </c>
      <c r="C79" s="145" t="s">
        <v>123</v>
      </c>
      <c r="D79" s="156">
        <v>332338.98</v>
      </c>
      <c r="E79" s="156">
        <v>332338.98</v>
      </c>
      <c r="H79" s="148"/>
      <c r="I79" s="152"/>
    </row>
    <row r="80" spans="1:9" s="134" customFormat="1" x14ac:dyDescent="0.2">
      <c r="A80" s="134">
        <v>3</v>
      </c>
      <c r="B80" s="155" t="s">
        <v>124</v>
      </c>
      <c r="C80" s="145" t="s">
        <v>125</v>
      </c>
      <c r="D80" s="156">
        <v>108396.6</v>
      </c>
      <c r="E80" s="156">
        <v>108396.6</v>
      </c>
      <c r="H80" s="148"/>
      <c r="I80" s="152"/>
    </row>
    <row r="81" spans="1:9" s="134" customFormat="1" x14ac:dyDescent="0.2">
      <c r="A81" s="134">
        <v>4</v>
      </c>
      <c r="B81" s="155" t="s">
        <v>126</v>
      </c>
      <c r="C81" s="145" t="s">
        <v>127</v>
      </c>
      <c r="D81" s="156">
        <v>65084.75</v>
      </c>
      <c r="E81" s="156">
        <v>65084.75</v>
      </c>
      <c r="H81" s="148"/>
      <c r="I81" s="152"/>
    </row>
    <row r="82" spans="1:9" s="134" customFormat="1" x14ac:dyDescent="0.2">
      <c r="A82" s="134">
        <v>5</v>
      </c>
      <c r="B82" s="155" t="s">
        <v>128</v>
      </c>
      <c r="C82" s="145" t="s">
        <v>129</v>
      </c>
      <c r="D82" s="156">
        <v>65084.75</v>
      </c>
      <c r="E82" s="156">
        <v>65084.75</v>
      </c>
      <c r="H82" s="148"/>
      <c r="I82" s="152"/>
    </row>
    <row r="83" spans="1:9" s="134" customFormat="1" x14ac:dyDescent="0.2">
      <c r="A83" s="134">
        <v>6</v>
      </c>
      <c r="B83" s="155" t="s">
        <v>130</v>
      </c>
      <c r="C83" s="145" t="s">
        <v>131</v>
      </c>
      <c r="D83" s="156">
        <v>65084.75</v>
      </c>
      <c r="E83" s="156">
        <v>65084.75</v>
      </c>
      <c r="H83" s="148"/>
      <c r="I83" s="152"/>
    </row>
    <row r="84" spans="1:9" s="134" customFormat="1" x14ac:dyDescent="0.2">
      <c r="A84" s="134">
        <v>7</v>
      </c>
      <c r="B84" s="155" t="s">
        <v>132</v>
      </c>
      <c r="C84" s="145" t="s">
        <v>133</v>
      </c>
      <c r="D84" s="156">
        <v>65084.75</v>
      </c>
      <c r="E84" s="156">
        <v>65084.75</v>
      </c>
      <c r="H84" s="148"/>
      <c r="I84" s="152"/>
    </row>
    <row r="85" spans="1:9" s="134" customFormat="1" x14ac:dyDescent="0.2">
      <c r="A85" s="134">
        <v>8</v>
      </c>
      <c r="B85" s="155" t="s">
        <v>134</v>
      </c>
      <c r="C85" s="145" t="s">
        <v>135</v>
      </c>
      <c r="D85" s="136">
        <v>390050.8</v>
      </c>
      <c r="E85" s="136">
        <v>390050.8</v>
      </c>
      <c r="H85" s="148"/>
      <c r="I85" s="152"/>
    </row>
    <row r="86" spans="1:9" s="84" customFormat="1" ht="13.5" thickBot="1" x14ac:dyDescent="0.25">
      <c r="B86" s="157"/>
      <c r="C86" s="158"/>
      <c r="D86" s="159">
        <f>SUM(D78:D85)</f>
        <v>1423464.3599999999</v>
      </c>
      <c r="E86" s="159">
        <f>SUM(E78:E85)</f>
        <v>1423464.3599999999</v>
      </c>
      <c r="F86" s="160"/>
      <c r="G86" s="160"/>
      <c r="H86" s="149"/>
      <c r="I86" s="149"/>
    </row>
    <row r="87" spans="1:9" s="84" customFormat="1" x14ac:dyDescent="0.2">
      <c r="B87" s="252">
        <v>41456</v>
      </c>
      <c r="C87" s="254" t="s">
        <v>71</v>
      </c>
      <c r="D87" s="119" t="s">
        <v>94</v>
      </c>
      <c r="E87" s="120" t="s">
        <v>94</v>
      </c>
      <c r="F87" s="160"/>
      <c r="G87" s="160"/>
      <c r="H87" s="149"/>
      <c r="I87" s="149"/>
    </row>
    <row r="88" spans="1:9" s="84" customFormat="1" ht="13.5" thickBot="1" x14ac:dyDescent="0.25">
      <c r="B88" s="253"/>
      <c r="C88" s="255"/>
      <c r="D88" s="114" t="s">
        <v>98</v>
      </c>
      <c r="E88" s="121" t="s">
        <v>99</v>
      </c>
      <c r="F88" s="160"/>
      <c r="G88" s="160"/>
      <c r="H88" s="149"/>
      <c r="I88" s="149"/>
    </row>
    <row r="89" spans="1:9" x14ac:dyDescent="0.2">
      <c r="B89" s="100"/>
      <c r="C89" s="104" t="s">
        <v>113</v>
      </c>
      <c r="D89" s="122">
        <v>0.2</v>
      </c>
      <c r="E89" s="123">
        <v>0.25</v>
      </c>
      <c r="F89" s="101"/>
      <c r="G89" s="101"/>
      <c r="H89" s="117"/>
      <c r="I89" s="117"/>
    </row>
    <row r="90" spans="1:9" s="84" customFormat="1" x14ac:dyDescent="0.2">
      <c r="A90" s="134">
        <v>1</v>
      </c>
      <c r="B90" s="155" t="s">
        <v>120</v>
      </c>
      <c r="C90" s="145" t="s">
        <v>121</v>
      </c>
      <c r="D90" s="124">
        <f>D78*7/12*D89</f>
        <v>38772.881000000001</v>
      </c>
      <c r="E90" s="124">
        <f>E78*7/12*E89</f>
        <v>48466.10125</v>
      </c>
      <c r="F90" s="160"/>
      <c r="G90" s="160"/>
      <c r="H90" s="149"/>
      <c r="I90" s="149"/>
    </row>
    <row r="91" spans="1:9" s="84" customFormat="1" x14ac:dyDescent="0.2">
      <c r="A91" s="134">
        <v>2</v>
      </c>
      <c r="B91" s="155" t="s">
        <v>122</v>
      </c>
      <c r="C91" s="145" t="s">
        <v>123</v>
      </c>
      <c r="D91" s="124">
        <f>D79*7/12*D89</f>
        <v>38772.881000000001</v>
      </c>
      <c r="E91" s="124">
        <f>E79*7/12*E89</f>
        <v>48466.10125</v>
      </c>
      <c r="F91" s="160"/>
      <c r="G91" s="160"/>
      <c r="H91" s="149"/>
      <c r="I91" s="149"/>
    </row>
    <row r="92" spans="1:9" s="84" customFormat="1" x14ac:dyDescent="0.2">
      <c r="A92" s="134">
        <v>3</v>
      </c>
      <c r="B92" s="155" t="s">
        <v>124</v>
      </c>
      <c r="C92" s="145" t="s">
        <v>125</v>
      </c>
      <c r="D92" s="124">
        <f>D80*3/12*D89</f>
        <v>5419.8300000000017</v>
      </c>
      <c r="E92" s="124">
        <f>E80*3/12*E89</f>
        <v>6774.7875000000013</v>
      </c>
      <c r="F92" s="160"/>
      <c r="G92" s="160"/>
      <c r="H92" s="149"/>
      <c r="I92" s="149"/>
    </row>
    <row r="93" spans="1:9" s="84" customFormat="1" x14ac:dyDescent="0.2">
      <c r="A93" s="134">
        <v>4</v>
      </c>
      <c r="B93" s="155" t="s">
        <v>126</v>
      </c>
      <c r="C93" s="145" t="s">
        <v>127</v>
      </c>
      <c r="D93" s="124">
        <f>D81*6/12*D89</f>
        <v>6508.4750000000004</v>
      </c>
      <c r="E93" s="124">
        <f>E81*6/12*E89</f>
        <v>8135.59375</v>
      </c>
      <c r="F93" s="160"/>
      <c r="G93" s="160"/>
      <c r="H93" s="149"/>
      <c r="I93" s="149"/>
    </row>
    <row r="94" spans="1:9" s="84" customFormat="1" x14ac:dyDescent="0.2">
      <c r="A94" s="134">
        <v>5</v>
      </c>
      <c r="B94" s="155" t="s">
        <v>128</v>
      </c>
      <c r="C94" s="145" t="s">
        <v>129</v>
      </c>
      <c r="D94" s="124">
        <f>D82*6/12*D89</f>
        <v>6508.4750000000004</v>
      </c>
      <c r="E94" s="124">
        <f>E82*6/12*E89</f>
        <v>8135.59375</v>
      </c>
      <c r="F94" s="160"/>
      <c r="G94" s="160"/>
      <c r="H94" s="149"/>
      <c r="I94" s="149"/>
    </row>
    <row r="95" spans="1:9" s="84" customFormat="1" x14ac:dyDescent="0.2">
      <c r="A95" s="134">
        <v>6</v>
      </c>
      <c r="B95" s="155" t="s">
        <v>130</v>
      </c>
      <c r="C95" s="145" t="s">
        <v>131</v>
      </c>
      <c r="D95" s="124">
        <f>D83*6/12*D89</f>
        <v>6508.4750000000004</v>
      </c>
      <c r="E95" s="124">
        <f>E83*6/12*E89</f>
        <v>8135.59375</v>
      </c>
      <c r="F95" s="160"/>
      <c r="G95" s="160"/>
      <c r="H95" s="149"/>
      <c r="I95" s="149"/>
    </row>
    <row r="96" spans="1:9" s="84" customFormat="1" x14ac:dyDescent="0.2">
      <c r="A96" s="134">
        <v>7</v>
      </c>
      <c r="B96" s="155" t="s">
        <v>132</v>
      </c>
      <c r="C96" s="145" t="s">
        <v>133</v>
      </c>
      <c r="D96" s="124">
        <f>D84*6/12*D89</f>
        <v>6508.4750000000004</v>
      </c>
      <c r="E96" s="124">
        <f>E84*6/12*E89</f>
        <v>8135.59375</v>
      </c>
      <c r="F96" s="161">
        <f>F98*2</f>
        <v>26011.014999999999</v>
      </c>
      <c r="G96" s="160"/>
      <c r="H96" s="149"/>
      <c r="I96" s="149"/>
    </row>
    <row r="97" spans="1:9" s="84" customFormat="1" ht="14.25" customHeight="1" thickBot="1" x14ac:dyDescent="0.25">
      <c r="A97" s="134">
        <v>8</v>
      </c>
      <c r="B97" s="155" t="s">
        <v>134</v>
      </c>
      <c r="C97" s="145" t="s">
        <v>135</v>
      </c>
      <c r="D97" s="143">
        <f>D85*6/12*D89</f>
        <v>39005.08</v>
      </c>
      <c r="E97" s="143">
        <f>E85*6/12*E89</f>
        <v>48756.35</v>
      </c>
      <c r="F97" s="160"/>
      <c r="G97" s="160"/>
      <c r="H97" s="149"/>
      <c r="I97" s="149"/>
    </row>
    <row r="98" spans="1:9" x14ac:dyDescent="0.2">
      <c r="B98" s="98"/>
      <c r="C98" s="99"/>
      <c r="D98" s="125">
        <f>SUM(D95:D97)</f>
        <v>52022.03</v>
      </c>
      <c r="E98" s="125">
        <f>SUM(E95:E97)</f>
        <v>65027.537499999999</v>
      </c>
      <c r="F98" s="126">
        <f>E98-D98</f>
        <v>13005.5075</v>
      </c>
      <c r="G98" s="111"/>
      <c r="H98" s="112" t="s">
        <v>114</v>
      </c>
      <c r="I98" s="153"/>
    </row>
    <row r="99" spans="1:9" x14ac:dyDescent="0.2">
      <c r="B99" s="103"/>
      <c r="C99" s="104"/>
      <c r="D99" s="101"/>
      <c r="E99" s="101"/>
      <c r="F99" s="101"/>
      <c r="G99" s="101"/>
      <c r="H99" s="128" t="s">
        <v>115</v>
      </c>
      <c r="I99" s="117"/>
    </row>
    <row r="100" spans="1:9" ht="13.5" thickBot="1" x14ac:dyDescent="0.25">
      <c r="B100" s="129" t="s">
        <v>119</v>
      </c>
      <c r="C100" s="130" t="s">
        <v>116</v>
      </c>
      <c r="D100" s="131">
        <f>D86-D98</f>
        <v>1371442.3299999998</v>
      </c>
      <c r="E100" s="131">
        <f>E86-E98</f>
        <v>1358436.8224999998</v>
      </c>
      <c r="F100" s="131">
        <f>D100-E100</f>
        <v>13005.507500000065</v>
      </c>
      <c r="G100" s="114" t="s">
        <v>117</v>
      </c>
      <c r="H100" s="115" t="s">
        <v>118</v>
      </c>
      <c r="I100" s="154">
        <f>F100*30%</f>
        <v>3901.6522500000192</v>
      </c>
    </row>
    <row r="101" spans="1:9" s="84" customFormat="1" x14ac:dyDescent="0.2"/>
    <row r="102" spans="1:9" s="84" customFormat="1" x14ac:dyDescent="0.2"/>
    <row r="105" spans="1:9" x14ac:dyDescent="0.2">
      <c r="C105" s="37" t="s">
        <v>148</v>
      </c>
      <c r="F105" s="162">
        <f>F43+F71+F100</f>
        <v>179219.75412499974</v>
      </c>
    </row>
    <row r="106" spans="1:9" ht="13.5" thickBot="1" x14ac:dyDescent="0.25">
      <c r="F106" s="41"/>
    </row>
  </sheetData>
  <mergeCells count="8">
    <mergeCell ref="D2:E2"/>
    <mergeCell ref="B4:I5"/>
    <mergeCell ref="B25:B26"/>
    <mergeCell ref="C25:C26"/>
    <mergeCell ref="B87:B88"/>
    <mergeCell ref="C87:C88"/>
    <mergeCell ref="B59:B60"/>
    <mergeCell ref="C59:C6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opLeftCell="A19" workbookViewId="0">
      <selection activeCell="C38" sqref="C37:C38"/>
    </sheetView>
  </sheetViews>
  <sheetFormatPr baseColWidth="10" defaultRowHeight="12.75" x14ac:dyDescent="0.2"/>
  <cols>
    <col min="1" max="1" width="13.42578125" customWidth="1"/>
    <col min="5" max="5" width="21" style="40" customWidth="1"/>
  </cols>
  <sheetData>
    <row r="2" spans="1:9" s="36" customFormat="1" x14ac:dyDescent="0.2">
      <c r="A2" s="36" t="s">
        <v>40</v>
      </c>
      <c r="E2" s="39"/>
    </row>
    <row r="4" spans="1:9" x14ac:dyDescent="0.2">
      <c r="A4" t="s">
        <v>39</v>
      </c>
    </row>
    <row r="5" spans="1:9" x14ac:dyDescent="0.2">
      <c r="E5" s="39" t="s">
        <v>53</v>
      </c>
      <c r="F5" s="36" t="s">
        <v>55</v>
      </c>
      <c r="G5" s="36" t="s">
        <v>157</v>
      </c>
      <c r="H5" s="36" t="s">
        <v>158</v>
      </c>
    </row>
    <row r="6" spans="1:9" x14ac:dyDescent="0.2">
      <c r="A6" s="36" t="s">
        <v>56</v>
      </c>
      <c r="B6" s="36" t="s">
        <v>54</v>
      </c>
      <c r="C6" s="36" t="s">
        <v>55</v>
      </c>
      <c r="D6" s="36"/>
      <c r="E6" s="39" t="s">
        <v>57</v>
      </c>
    </row>
    <row r="8" spans="1:9" x14ac:dyDescent="0.2">
      <c r="A8" s="37" t="s">
        <v>41</v>
      </c>
      <c r="B8">
        <v>791909</v>
      </c>
      <c r="C8" s="38">
        <f t="shared" ref="C8:C14" si="0">B8*0.18</f>
        <v>142543.62</v>
      </c>
      <c r="D8" s="38"/>
      <c r="E8" s="40">
        <v>727937</v>
      </c>
      <c r="F8" s="38">
        <f>E8*0.18</f>
        <v>131028.65999999999</v>
      </c>
      <c r="G8">
        <v>727937</v>
      </c>
      <c r="H8">
        <f t="shared" ref="H8:H16" si="1">E8-G8</f>
        <v>0</v>
      </c>
    </row>
    <row r="9" spans="1:9" x14ac:dyDescent="0.2">
      <c r="A9" s="37" t="s">
        <v>42</v>
      </c>
      <c r="B9">
        <v>527356</v>
      </c>
      <c r="C9" s="38">
        <f t="shared" si="0"/>
        <v>94924.08</v>
      </c>
      <c r="D9" s="38"/>
      <c r="E9" s="40">
        <v>697196</v>
      </c>
      <c r="F9" s="38">
        <f t="shared" ref="F9:F14" si="2">E9*0.18</f>
        <v>125495.28</v>
      </c>
      <c r="G9">
        <v>695501</v>
      </c>
      <c r="H9">
        <f t="shared" si="1"/>
        <v>1695</v>
      </c>
    </row>
    <row r="10" spans="1:9" x14ac:dyDescent="0.2">
      <c r="A10" s="37" t="s">
        <v>43</v>
      </c>
      <c r="B10">
        <v>870834</v>
      </c>
      <c r="C10" s="38">
        <f t="shared" si="0"/>
        <v>156750.12</v>
      </c>
      <c r="D10" s="38"/>
      <c r="E10" s="40">
        <v>658485</v>
      </c>
      <c r="F10" s="38">
        <f t="shared" si="2"/>
        <v>118527.29999999999</v>
      </c>
      <c r="G10">
        <v>657069</v>
      </c>
      <c r="H10">
        <f t="shared" si="1"/>
        <v>1416</v>
      </c>
    </row>
    <row r="11" spans="1:9" x14ac:dyDescent="0.2">
      <c r="A11" s="37" t="s">
        <v>44</v>
      </c>
      <c r="B11">
        <v>927370</v>
      </c>
      <c r="C11" s="38">
        <f t="shared" si="0"/>
        <v>166926.6</v>
      </c>
      <c r="D11" s="38"/>
      <c r="E11" s="40">
        <v>851398</v>
      </c>
      <c r="F11" s="38">
        <f t="shared" si="2"/>
        <v>153251.63999999998</v>
      </c>
      <c r="G11">
        <v>768684</v>
      </c>
      <c r="H11">
        <f t="shared" si="1"/>
        <v>82714</v>
      </c>
    </row>
    <row r="12" spans="1:9" x14ac:dyDescent="0.2">
      <c r="A12" s="37" t="s">
        <v>45</v>
      </c>
      <c r="B12">
        <v>538634</v>
      </c>
      <c r="C12" s="38">
        <f t="shared" si="0"/>
        <v>96954.12</v>
      </c>
      <c r="D12" s="38"/>
      <c r="E12" s="40">
        <v>459252</v>
      </c>
      <c r="F12" s="38">
        <f t="shared" si="2"/>
        <v>82665.36</v>
      </c>
      <c r="G12">
        <v>419251</v>
      </c>
      <c r="H12">
        <f t="shared" si="1"/>
        <v>40001</v>
      </c>
    </row>
    <row r="13" spans="1:9" x14ac:dyDescent="0.2">
      <c r="A13" s="37" t="s">
        <v>46</v>
      </c>
      <c r="B13">
        <v>745383</v>
      </c>
      <c r="C13" s="38">
        <f t="shared" si="0"/>
        <v>134168.94</v>
      </c>
      <c r="D13" s="38"/>
      <c r="E13" s="40">
        <v>731287</v>
      </c>
      <c r="F13" s="38">
        <f t="shared" si="2"/>
        <v>131631.66</v>
      </c>
      <c r="G13">
        <v>515400</v>
      </c>
      <c r="H13">
        <f t="shared" si="1"/>
        <v>215887</v>
      </c>
    </row>
    <row r="14" spans="1:9" x14ac:dyDescent="0.2">
      <c r="A14" s="37" t="s">
        <v>47</v>
      </c>
      <c r="B14">
        <v>667516</v>
      </c>
      <c r="C14" s="38">
        <f t="shared" si="0"/>
        <v>120152.87999999999</v>
      </c>
      <c r="D14" s="38"/>
      <c r="E14" s="40">
        <v>669307</v>
      </c>
      <c r="F14" s="38">
        <f t="shared" si="2"/>
        <v>120475.26</v>
      </c>
      <c r="G14">
        <v>669307</v>
      </c>
      <c r="H14">
        <f t="shared" si="1"/>
        <v>0</v>
      </c>
      <c r="I14" s="31"/>
    </row>
    <row r="15" spans="1:9" x14ac:dyDescent="0.2">
      <c r="A15" s="37" t="s">
        <v>48</v>
      </c>
      <c r="E15" s="40">
        <v>499633</v>
      </c>
      <c r="G15">
        <v>499633</v>
      </c>
      <c r="H15">
        <f t="shared" si="1"/>
        <v>0</v>
      </c>
    </row>
    <row r="16" spans="1:9" x14ac:dyDescent="0.2">
      <c r="A16" s="37" t="s">
        <v>49</v>
      </c>
      <c r="E16" s="40">
        <v>577900</v>
      </c>
      <c r="G16">
        <v>577900</v>
      </c>
      <c r="H16">
        <f t="shared" si="1"/>
        <v>0</v>
      </c>
    </row>
    <row r="17" spans="1:8" x14ac:dyDescent="0.2">
      <c r="A17" s="37" t="s">
        <v>50</v>
      </c>
    </row>
    <row r="18" spans="1:8" x14ac:dyDescent="0.2">
      <c r="A18" s="37" t="s">
        <v>51</v>
      </c>
    </row>
    <row r="19" spans="1:8" ht="13.5" thickBot="1" x14ac:dyDescent="0.25">
      <c r="A19" s="37" t="s">
        <v>52</v>
      </c>
      <c r="B19" s="41"/>
      <c r="C19" s="41"/>
      <c r="D19" s="41"/>
      <c r="E19" s="42"/>
      <c r="F19" s="41"/>
      <c r="G19" s="41"/>
      <c r="H19" s="41"/>
    </row>
    <row r="20" spans="1:8" x14ac:dyDescent="0.2">
      <c r="A20" s="37" t="s">
        <v>59</v>
      </c>
      <c r="B20">
        <f>SUM(B8:B19)</f>
        <v>5069002</v>
      </c>
      <c r="E20"/>
      <c r="H20">
        <f>SUM(H8:H19)</f>
        <v>341713</v>
      </c>
    </row>
    <row r="22" spans="1:8" x14ac:dyDescent="0.2">
      <c r="C22" t="s">
        <v>159</v>
      </c>
      <c r="D22" s="37" t="s">
        <v>60</v>
      </c>
      <c r="G22" s="43">
        <v>0.6</v>
      </c>
      <c r="H22">
        <f>H20*G22</f>
        <v>205027.8</v>
      </c>
    </row>
    <row r="23" spans="1:8" ht="13.5" thickBot="1" x14ac:dyDescent="0.25">
      <c r="D23" s="37" t="s">
        <v>61</v>
      </c>
      <c r="G23" s="43">
        <v>0.4</v>
      </c>
      <c r="H23" s="44">
        <f>H20*G23</f>
        <v>136685.20000000001</v>
      </c>
    </row>
    <row r="26" spans="1:8" x14ac:dyDescent="0.2">
      <c r="C26" t="s">
        <v>156</v>
      </c>
      <c r="D26" s="37" t="s">
        <v>60</v>
      </c>
      <c r="G26" s="43">
        <v>0.6</v>
      </c>
      <c r="H26">
        <f>F27*G26</f>
        <v>2027967.4919999999</v>
      </c>
    </row>
    <row r="27" spans="1:8" x14ac:dyDescent="0.2">
      <c r="D27" s="37" t="s">
        <v>61</v>
      </c>
      <c r="F27">
        <f>695726.14+1613238.95+1070980.73</f>
        <v>3379945.82</v>
      </c>
      <c r="G27" s="43">
        <v>0.4</v>
      </c>
      <c r="H27">
        <f>F27*G27</f>
        <v>1351978.328</v>
      </c>
    </row>
    <row r="30" spans="1:8" x14ac:dyDescent="0.2">
      <c r="D30" s="36" t="s">
        <v>71</v>
      </c>
    </row>
    <row r="32" spans="1:8" x14ac:dyDescent="0.2">
      <c r="D32" s="37" t="s">
        <v>60</v>
      </c>
      <c r="G32" s="43">
        <v>0.6</v>
      </c>
      <c r="H32">
        <f>F33*G32</f>
        <v>1020640.35</v>
      </c>
    </row>
    <row r="33" spans="4:8" x14ac:dyDescent="0.2">
      <c r="D33" s="37" t="s">
        <v>61</v>
      </c>
      <c r="F33">
        <v>1701067.25</v>
      </c>
      <c r="G33" s="43">
        <v>0.4</v>
      </c>
      <c r="H33">
        <f>F33*G33</f>
        <v>680426.9</v>
      </c>
    </row>
    <row r="37" spans="4:8" x14ac:dyDescent="0.2">
      <c r="F37" t="s">
        <v>59</v>
      </c>
      <c r="G37" s="43">
        <v>0.6</v>
      </c>
      <c r="H37">
        <f>H22+H26+H32</f>
        <v>3253635.642</v>
      </c>
    </row>
    <row r="38" spans="4:8" ht="13.5" thickBot="1" x14ac:dyDescent="0.25">
      <c r="G38" s="43">
        <v>0.4</v>
      </c>
      <c r="H38" s="44">
        <f>H23+H27+H33</f>
        <v>2169090.4279999998</v>
      </c>
    </row>
    <row r="39" spans="4:8" x14ac:dyDescent="0.2">
      <c r="H39">
        <f>SUM(H37:H38)</f>
        <v>5422726.0700000003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ESTADO DE SITUACION FINANCIERA</vt:lpstr>
      <vt:lpstr>ESTADO DE RESULTADO INTEGRAL</vt:lpstr>
      <vt:lpstr>CAMBIOS EN EL PATRIMONIO NETO</vt:lpstr>
      <vt:lpstr>ESTADO DE FLUJO DE EFECTIVO</vt:lpstr>
      <vt:lpstr>FACTURAS-FALTANTES</vt:lpstr>
      <vt:lpstr>PROYECCION-2013</vt:lpstr>
      <vt:lpstr>DEPRECIACION ACELERADA 2013</vt:lpstr>
      <vt:lpstr>Hoja1</vt:lpstr>
      <vt:lpstr>'ESTADO DE RESULTADO INTEGRAL'!Área_de_impresión</vt:lpstr>
      <vt:lpstr>'ESTADO DE SITUACION FINANCIERA'!Área_de_impresión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Espinoza</dc:creator>
  <cp:lastModifiedBy>USER</cp:lastModifiedBy>
  <cp:lastPrinted>2018-02-21T00:55:05Z</cp:lastPrinted>
  <dcterms:created xsi:type="dcterms:W3CDTF">2005-04-27T17:38:07Z</dcterms:created>
  <dcterms:modified xsi:type="dcterms:W3CDTF">2022-03-09T17:41:44Z</dcterms:modified>
</cp:coreProperties>
</file>